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sumo" sheetId="1" r:id="rId1"/>
    <sheet name="so_a_base" sheetId="2" state="hidden" r:id="rId2"/>
    <sheet name="mes_ano" sheetId="3" state="hidden" r:id="rId3"/>
    <sheet name="produto" sheetId="4" state="hidden" r:id="rId4"/>
    <sheet name="grafico2" sheetId="5" state="hidden" r:id="rId5"/>
  </sheets>
  <definedNames>
    <definedName name="_xlnm.Print_Area" localSheetId="0">'resumo'!$A$1:$G$61</definedName>
    <definedName name="Excel_BuiltIn_Print_Area" localSheetId="0">'resumo'!$A$1:$G$61</definedName>
  </definedNames>
  <calcPr fullCalcOnLoad="1"/>
</workbook>
</file>

<file path=xl/sharedStrings.xml><?xml version="1.0" encoding="utf-8"?>
<sst xmlns="http://schemas.openxmlformats.org/spreadsheetml/2006/main" count="345" uniqueCount="76">
  <si>
    <t xml:space="preserve">                     SECRETARIA DE ESTADO DA AGRICULTURA E DO ABASTECIMENTO DO PARANÁ - SEAB</t>
  </si>
  <si>
    <t xml:space="preserve">                     DEPARTAMENTO DE ECONOMIA RURAL - DERAL</t>
  </si>
  <si>
    <t>ESTIMATIVA DO CUSTO DE PRODUÇÃO</t>
  </si>
  <si>
    <t>PRODUTO:</t>
  </si>
  <si>
    <t>MÊS/ANO:</t>
  </si>
  <si>
    <t xml:space="preserve">Produtividade:  </t>
  </si>
  <si>
    <t>Especificação</t>
  </si>
  <si>
    <t>R$/ha</t>
  </si>
  <si>
    <t>Participação (%)</t>
  </si>
  <si>
    <t>1    -</t>
  </si>
  <si>
    <t>Operação de máquinas e implementos</t>
  </si>
  <si>
    <t>2    -</t>
  </si>
  <si>
    <t>Despesas de manutenção de benfeitorias</t>
  </si>
  <si>
    <t>3    -</t>
  </si>
  <si>
    <t>Mão-de-obra temporária</t>
  </si>
  <si>
    <t>4    -</t>
  </si>
  <si>
    <t>Sementes/Manivas</t>
  </si>
  <si>
    <t>5    -</t>
  </si>
  <si>
    <t>Fertilizantes</t>
  </si>
  <si>
    <t>6    -</t>
  </si>
  <si>
    <t>Agrotóxicos</t>
  </si>
  <si>
    <t>7    -</t>
  </si>
  <si>
    <t>Despesas gerais</t>
  </si>
  <si>
    <t>8    -</t>
  </si>
  <si>
    <t>Transporte externo</t>
  </si>
  <si>
    <t>9    -</t>
  </si>
  <si>
    <t>Assistência técnica</t>
  </si>
  <si>
    <t>10    -</t>
  </si>
  <si>
    <t>PROAGRO/SEGURO</t>
  </si>
  <si>
    <t>11    -</t>
  </si>
  <si>
    <t>Juros</t>
  </si>
  <si>
    <t>TOTAL DOS CUSTOS VARIÁVEIS (A)</t>
  </si>
  <si>
    <t>Depreciação de máquinas e implementos</t>
  </si>
  <si>
    <t>Depreciação de benfeitorias e instalações</t>
  </si>
  <si>
    <t>Sistematização e correção do solo</t>
  </si>
  <si>
    <t>Cultura</t>
  </si>
  <si>
    <t>Seguro do capital</t>
  </si>
  <si>
    <t>Mão-de-obra permanente</t>
  </si>
  <si>
    <t>SUB-TOTAL (B)</t>
  </si>
  <si>
    <t>Remuneração do Capital próprio</t>
  </si>
  <si>
    <t>Remuneração da terra</t>
  </si>
  <si>
    <t>SUB-TOTAL ( C )</t>
  </si>
  <si>
    <t>TOTAL DOS CUSTOS FIXOS (B+C)</t>
  </si>
  <si>
    <t>CUSTO OPERACIONAL (A+B)</t>
  </si>
  <si>
    <t>CUSTO TOTAL (A+B+C)</t>
  </si>
  <si>
    <t>FONTE: SEAB/DERAL</t>
  </si>
  <si>
    <t>Obs: Coeficientes e sistemas de produção ajustados inclusive nos meses anteriores a esta pesquisa.</t>
  </si>
  <si>
    <t>a</t>
  </si>
  <si>
    <t>b</t>
  </si>
  <si>
    <t>bb</t>
  </si>
  <si>
    <t>bbb</t>
  </si>
  <si>
    <t>c</t>
  </si>
  <si>
    <t>Custo</t>
  </si>
  <si>
    <t>t</t>
  </si>
  <si>
    <t>-</t>
  </si>
  <si>
    <t>CULTURA</t>
  </si>
  <si>
    <t>PRODUTIVIDADE</t>
  </si>
  <si>
    <t>UNIDADE</t>
  </si>
  <si>
    <t>UNIDADE2</t>
  </si>
  <si>
    <t>Sistema</t>
  </si>
  <si>
    <t>CAFÉ ADENSADO</t>
  </si>
  <si>
    <t xml:space="preserve">SC 60kg/ha </t>
  </si>
  <si>
    <t>R$/60kg</t>
  </si>
  <si>
    <t>FEIJÃO 1ª SAFRA</t>
  </si>
  <si>
    <t>FEIJÃO 2ª SAFRA</t>
  </si>
  <si>
    <t>SPD</t>
  </si>
  <si>
    <t>MANDIOCA (1 CICLO)</t>
  </si>
  <si>
    <t xml:space="preserve">ton/ha </t>
  </si>
  <si>
    <t>R$/ton</t>
  </si>
  <si>
    <t>MANDIOCA (2 CICLOS)</t>
  </si>
  <si>
    <t>MILHO (1ª safra)</t>
  </si>
  <si>
    <t>MILHO (2ª safra)</t>
  </si>
  <si>
    <t>SOJA</t>
  </si>
  <si>
    <t>TRIGO</t>
  </si>
  <si>
    <t>Outros</t>
  </si>
  <si>
    <t xml:space="preserve"> - 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</si>
</sst>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mmm\-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0" xfId="48" applyFont="1" applyFill="1" applyBorder="1" applyAlignment="1" applyProtection="1">
      <alignment horizontal="center" vertical="center"/>
      <protection hidden="1"/>
    </xf>
    <xf numFmtId="0" fontId="6" fillId="0" borderId="10" xfId="48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0" xfId="48" applyFont="1" applyBorder="1" applyAlignment="1" applyProtection="1">
      <alignment horizontal="right"/>
      <protection hidden="1"/>
    </xf>
    <xf numFmtId="0" fontId="7" fillId="0" borderId="0" xfId="48" applyFont="1" applyBorder="1" applyAlignment="1" applyProtection="1">
      <alignment horizontal="left"/>
      <protection hidden="1"/>
    </xf>
    <xf numFmtId="4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4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48" applyFont="1" applyBorder="1" applyProtection="1">
      <alignment/>
      <protection hidden="1"/>
    </xf>
    <xf numFmtId="0" fontId="9" fillId="0" borderId="10" xfId="48" applyFont="1" applyBorder="1" applyAlignment="1" applyProtection="1">
      <alignment horizontal="center"/>
      <protection hidden="1"/>
    </xf>
    <xf numFmtId="0" fontId="9" fillId="0" borderId="10" xfId="48" applyFont="1" applyBorder="1" applyProtection="1">
      <alignment/>
      <protection hidden="1"/>
    </xf>
    <xf numFmtId="4" fontId="9" fillId="0" borderId="10" xfId="48" applyNumberFormat="1" applyFont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/>
      <protection hidden="1"/>
    </xf>
    <xf numFmtId="0" fontId="9" fillId="0" borderId="10" xfId="48" applyFont="1" applyBorder="1" applyAlignment="1" applyProtection="1">
      <alignment horizontal="left"/>
      <protection hidden="1"/>
    </xf>
    <xf numFmtId="0" fontId="7" fillId="0" borderId="0" xfId="48" applyFont="1" applyBorder="1" applyAlignment="1" applyProtection="1">
      <alignment horizontal="center"/>
      <protection hidden="1"/>
    </xf>
    <xf numFmtId="0" fontId="8" fillId="0" borderId="0" xfId="48" applyFo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" fillId="0" borderId="0" xfId="48" applyFont="1" applyBorder="1" applyAlignment="1" applyProtection="1">
      <alignment horizontal="right"/>
      <protection locked="0"/>
    </xf>
    <xf numFmtId="0" fontId="10" fillId="0" borderId="0" xfId="48" applyFont="1" applyBorder="1" applyAlignment="1" applyProtection="1">
      <alignment horizontal="center"/>
      <protection locked="0"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8" applyFont="1" applyBorder="1" applyProtection="1">
      <alignment/>
      <protection locked="0"/>
    </xf>
    <xf numFmtId="179" fontId="0" fillId="0" borderId="0" xfId="0" applyNumberFormat="1" applyAlignment="1">
      <alignment/>
    </xf>
    <xf numFmtId="0" fontId="10" fillId="0" borderId="0" xfId="48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center"/>
    </xf>
    <xf numFmtId="178" fontId="10" fillId="34" borderId="0" xfId="53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 horizontal="center"/>
    </xf>
    <xf numFmtId="0" fontId="10" fillId="0" borderId="0" xfId="48" applyFont="1" applyBorder="1" applyProtection="1">
      <alignment/>
      <protection/>
    </xf>
    <xf numFmtId="4" fontId="10" fillId="34" borderId="0" xfId="48" applyNumberFormat="1" applyFont="1" applyFill="1" applyProtection="1">
      <alignment/>
      <protection locked="0"/>
    </xf>
    <xf numFmtId="0" fontId="10" fillId="34" borderId="0" xfId="48" applyFont="1" applyFill="1" applyProtection="1">
      <alignment/>
      <protection locked="0"/>
    </xf>
    <xf numFmtId="2" fontId="10" fillId="34" borderId="0" xfId="48" applyNumberFormat="1" applyFont="1" applyFill="1" applyProtection="1">
      <alignment/>
      <protection locked="0"/>
    </xf>
    <xf numFmtId="0" fontId="10" fillId="35" borderId="0" xfId="48" applyFont="1" applyFill="1" applyBorder="1" applyAlignment="1" applyProtection="1">
      <alignment horizontal="left"/>
      <protection/>
    </xf>
    <xf numFmtId="2" fontId="10" fillId="35" borderId="0" xfId="48" applyNumberFormat="1" applyFont="1" applyFill="1" applyProtection="1">
      <alignment/>
      <protection locked="0"/>
    </xf>
    <xf numFmtId="0" fontId="10" fillId="35" borderId="0" xfId="48" applyFont="1" applyFill="1" applyBorder="1" applyProtection="1">
      <alignment/>
      <protection/>
    </xf>
    <xf numFmtId="0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10" fillId="34" borderId="0" xfId="53" applyFont="1" applyFill="1" applyBorder="1" applyAlignment="1" applyProtection="1">
      <alignment horizontal="center"/>
      <protection locked="0"/>
    </xf>
    <xf numFmtId="0" fontId="6" fillId="0" borderId="10" xfId="48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4" fillId="0" borderId="0" xfId="48" applyFont="1" applyBorder="1" applyAlignment="1" applyProtection="1">
      <alignment horizontal="righ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HUMBERTO" xfId="48"/>
    <cellStyle name="Nota" xfId="49"/>
    <cellStyle name="Percent" xfId="50"/>
    <cellStyle name="Saída" xfId="51"/>
    <cellStyle name="Comma [0]" xfId="52"/>
    <cellStyle name="Separador de milhares_HUMBERTO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Principais Componentes do Custo de Produção</a:t>
            </a:r>
          </a:p>
        </c:rich>
      </c:tx>
      <c:layout>
        <c:manualLayout>
          <c:xMode val="factor"/>
          <c:yMode val="factor"/>
          <c:x val="-0.137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25"/>
          <c:y val="0.3495"/>
          <c:w val="0.223"/>
          <c:h val="0.47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grafico2!$H$11:$H$16</c:f>
              <c:strCache>
                <c:ptCount val="6"/>
                <c:pt idx="0">
                  <c:v>Outros</c:v>
                </c:pt>
                <c:pt idx="1">
                  <c:v>Remuneração da terra</c:v>
                </c:pt>
                <c:pt idx="2">
                  <c:v>Fertilizantes</c:v>
                </c:pt>
                <c:pt idx="3">
                  <c:v>Sementes/Manivas</c:v>
                </c:pt>
                <c:pt idx="4">
                  <c:v>Operação de máquinas e implementos</c:v>
                </c:pt>
                <c:pt idx="5">
                  <c:v>Agrotóxicos</c:v>
                </c:pt>
              </c:strCache>
            </c:strRef>
          </c:cat>
          <c:val>
            <c:numRef>
              <c:f>grafico2!$I$11:$I$16</c:f>
              <c:numCache>
                <c:ptCount val="6"/>
                <c:pt idx="0">
                  <c:v>0.3317661165057364</c:v>
                </c:pt>
                <c:pt idx="1">
                  <c:v>0.18994631616237764</c:v>
                </c:pt>
                <c:pt idx="2">
                  <c:v>0.15531797000608594</c:v>
                </c:pt>
                <c:pt idx="3">
                  <c:v>0.1294952265893958</c:v>
                </c:pt>
                <c:pt idx="4">
                  <c:v>0.10114725358573515</c:v>
                </c:pt>
                <c:pt idx="5">
                  <c:v>0.09232711715066898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142875</xdr:rowOff>
    </xdr:from>
    <xdr:to>
      <xdr:col>6</xdr:col>
      <xdr:colOff>600075</xdr:colOff>
      <xdr:row>64</xdr:row>
      <xdr:rowOff>9525</xdr:rowOff>
    </xdr:to>
    <xdr:graphicFrame>
      <xdr:nvGraphicFramePr>
        <xdr:cNvPr id="1" name="Gráfico 1"/>
        <xdr:cNvGraphicFramePr/>
      </xdr:nvGraphicFramePr>
      <xdr:xfrm>
        <a:off x="0" y="7848600"/>
        <a:ext cx="7715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showGridLines="0" tabSelected="1"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7.57421875" style="1" customWidth="1"/>
    <col min="2" max="2" width="45.7109375" style="1" customWidth="1"/>
    <col min="3" max="3" width="14.57421875" style="1" customWidth="1"/>
    <col min="4" max="4" width="13.421875" style="1" customWidth="1"/>
    <col min="5" max="5" width="16.28125" style="1" customWidth="1"/>
    <col min="6" max="16384" width="9.140625" style="1" customWidth="1"/>
  </cols>
  <sheetData>
    <row r="2" ht="12.75">
      <c r="B2" s="2" t="s">
        <v>0</v>
      </c>
    </row>
    <row r="3" ht="12.75">
      <c r="B3" s="2" t="s">
        <v>1</v>
      </c>
    </row>
    <row r="4" ht="12.75" customHeight="1">
      <c r="B4" s="2"/>
    </row>
    <row r="5" spans="2:6" ht="12.75">
      <c r="B5" s="2"/>
      <c r="F5" s="2"/>
    </row>
    <row r="6" spans="1:6" ht="12.75">
      <c r="A6" s="47" t="s">
        <v>2</v>
      </c>
      <c r="B6" s="47"/>
      <c r="C6" s="47"/>
      <c r="D6" s="47"/>
      <c r="E6" s="47"/>
      <c r="F6" s="2"/>
    </row>
    <row r="8" spans="1:3" ht="18" customHeight="1">
      <c r="A8" s="48" t="s">
        <v>3</v>
      </c>
      <c r="B8" s="48"/>
      <c r="C8" s="3" t="str">
        <f>IF(VLOOKUP(produto!$A$1,produto!$A$2:$F$10,6,0)=0,"",VLOOKUP(produto!$A$1,produto!$A$2:$F$10,6,0))</f>
        <v>SPD</v>
      </c>
    </row>
    <row r="10" spans="1:2" ht="12.75" customHeight="1">
      <c r="A10" s="48" t="s">
        <v>4</v>
      </c>
      <c r="B10" s="48"/>
    </row>
    <row r="11" spans="2:5" ht="22.5" customHeight="1">
      <c r="B11" s="49" t="s">
        <v>5</v>
      </c>
      <c r="C11" s="49"/>
      <c r="D11" s="3">
        <f>VLOOKUP(produto!$A$1,produto!$A$2:$C$10,3,0)</f>
        <v>55</v>
      </c>
      <c r="E11" s="4" t="str">
        <f>VLOOKUP(produto!$A$1,produto!$A$2:$D$10,4,0)</f>
        <v>SC 60kg/ha </v>
      </c>
    </row>
    <row r="12" ht="9" customHeight="1"/>
    <row r="13" spans="1:17" ht="28.5">
      <c r="A13" s="45" t="s">
        <v>6</v>
      </c>
      <c r="B13" s="45"/>
      <c r="C13" s="5" t="s">
        <v>7</v>
      </c>
      <c r="D13" s="5" t="str">
        <f>VLOOKUP(produto!$A$1,produto!$A$2:$E$10,5,0)</f>
        <v>R$/60kg</v>
      </c>
      <c r="E13" s="6" t="s">
        <v>8</v>
      </c>
      <c r="G13" s="7"/>
      <c r="Q13" s="7"/>
    </row>
    <row r="14" spans="1:17" ht="15">
      <c r="A14" s="8" t="s">
        <v>9</v>
      </c>
      <c r="B14" s="9" t="s">
        <v>10</v>
      </c>
      <c r="C14" s="10">
        <f>IF(VLOOKUP(produto!$A$1&amp;resumo!B14,so_a_base!$A$6:$G$176,7,0)="-","-",VLOOKUP(produto!$A$1&amp;resumo!B14,so_a_base!$A$6:$G$176,7,0))</f>
        <v>556.76</v>
      </c>
      <c r="D14" s="10">
        <f aca="true" t="shared" si="0" ref="D14:D24">IF(ISERROR(C14/$D$11),"-",ROUND(C14/$D$11,2))</f>
        <v>10.12</v>
      </c>
      <c r="E14" s="10">
        <f aca="true" t="shared" si="1" ref="E14:E24">IF(ISERROR((C14/$C$38)*100),"-",((C14/$C$38)*100))</f>
        <v>10.114725358573516</v>
      </c>
      <c r="F14" s="11"/>
      <c r="G14" s="12"/>
      <c r="H14" s="11"/>
      <c r="I14" s="11"/>
      <c r="J14" s="11"/>
      <c r="K14" s="11"/>
      <c r="Q14" s="7"/>
    </row>
    <row r="15" spans="1:17" ht="15">
      <c r="A15" s="8" t="s">
        <v>11</v>
      </c>
      <c r="B15" s="13" t="s">
        <v>12</v>
      </c>
      <c r="C15" s="10">
        <f>IF(VLOOKUP(produto!$A$1&amp;resumo!B15,so_a_base!$A$6:$G$176,7,0)="-","-",VLOOKUP(produto!$A$1&amp;resumo!B15,so_a_base!$A$6:$G$176,7,0))</f>
        <v>42.83</v>
      </c>
      <c r="D15" s="10">
        <f t="shared" si="0"/>
        <v>0.78</v>
      </c>
      <c r="E15" s="10">
        <f t="shared" si="1"/>
        <v>0.7780977209348798</v>
      </c>
      <c r="G15" s="11"/>
      <c r="Q15" s="7"/>
    </row>
    <row r="16" spans="1:17" ht="15">
      <c r="A16" s="8" t="s">
        <v>13</v>
      </c>
      <c r="B16" s="13" t="s">
        <v>14</v>
      </c>
      <c r="C16" s="10">
        <f>IF(VLOOKUP(produto!$A$1&amp;resumo!B16,so_a_base!$A$6:$G$176,7,0)="-","-",VLOOKUP(produto!$A$1&amp;resumo!B16,so_a_base!$A$6:$G$176,7,0))</f>
        <v>48.8</v>
      </c>
      <c r="D16" s="10">
        <f t="shared" si="0"/>
        <v>0.89</v>
      </c>
      <c r="E16" s="10">
        <f t="shared" si="1"/>
        <v>0.8865554233392979</v>
      </c>
      <c r="G16" s="11"/>
      <c r="Q16" s="7"/>
    </row>
    <row r="17" spans="1:17" ht="15">
      <c r="A17" s="8" t="s">
        <v>15</v>
      </c>
      <c r="B17" s="13" t="s">
        <v>16</v>
      </c>
      <c r="C17" s="10">
        <f>IF(VLOOKUP(produto!$A$1&amp;resumo!B17,so_a_base!$A$6:$G$176,7,0)="-","-",VLOOKUP(produto!$A$1&amp;resumo!B17,so_a_base!$A$6:$G$176,7,0))</f>
        <v>712.8</v>
      </c>
      <c r="D17" s="10">
        <f t="shared" si="0"/>
        <v>12.96</v>
      </c>
      <c r="E17" s="10">
        <f t="shared" si="1"/>
        <v>12.949522658939582</v>
      </c>
      <c r="G17" s="11"/>
      <c r="Q17" s="7"/>
    </row>
    <row r="18" spans="1:17" ht="15">
      <c r="A18" s="8" t="s">
        <v>17</v>
      </c>
      <c r="B18" s="13" t="s">
        <v>18</v>
      </c>
      <c r="C18" s="10">
        <f>IF(VLOOKUP(produto!$A$1&amp;resumo!B18,so_a_base!$A$6:$G$176,7,0)="-","-",VLOOKUP(produto!$A$1&amp;resumo!B18,so_a_base!$A$6:$G$176,7,0))</f>
        <v>854.94</v>
      </c>
      <c r="D18" s="10">
        <f t="shared" si="0"/>
        <v>15.54</v>
      </c>
      <c r="E18" s="10">
        <f t="shared" si="1"/>
        <v>15.531797000608597</v>
      </c>
      <c r="G18" s="11"/>
      <c r="Q18" s="7"/>
    </row>
    <row r="19" spans="1:17" ht="15">
      <c r="A19" s="8" t="s">
        <v>19</v>
      </c>
      <c r="B19" s="13" t="s">
        <v>20</v>
      </c>
      <c r="C19" s="10">
        <f>IF(VLOOKUP(produto!$A$1&amp;resumo!B19,so_a_base!$A$6:$G$176,7,0)="-","-",VLOOKUP(produto!$A$1&amp;resumo!B19,so_a_base!$A$6:$G$176,7,0))</f>
        <v>508.21</v>
      </c>
      <c r="D19" s="10">
        <f t="shared" si="0"/>
        <v>9.24</v>
      </c>
      <c r="E19" s="10">
        <f t="shared" si="1"/>
        <v>9.232711715066898</v>
      </c>
      <c r="G19" s="11"/>
      <c r="Q19" s="7"/>
    </row>
    <row r="20" spans="1:17" ht="15">
      <c r="A20" s="8" t="s">
        <v>21</v>
      </c>
      <c r="B20" s="13" t="s">
        <v>22</v>
      </c>
      <c r="C20" s="10">
        <f>IF(VLOOKUP(produto!$A$1&amp;resumo!B20,so_a_base!$A$6:$G$176,7,0)="-","-",VLOOKUP(produto!$A$1&amp;resumo!B20,so_a_base!$A$6:$G$176,7,0))</f>
        <v>51.61</v>
      </c>
      <c r="D20" s="10">
        <f t="shared" si="0"/>
        <v>0.94</v>
      </c>
      <c r="E20" s="10">
        <f t="shared" si="1"/>
        <v>0.9376050286586305</v>
      </c>
      <c r="G20" s="11"/>
      <c r="Q20" s="7"/>
    </row>
    <row r="21" spans="1:17" ht="15">
      <c r="A21" s="8" t="s">
        <v>23</v>
      </c>
      <c r="B21" s="9" t="s">
        <v>24</v>
      </c>
      <c r="C21" s="10">
        <f>IF(VLOOKUP(produto!$A$1&amp;resumo!B21,so_a_base!$A$6:$G$176,7,0)="-","-",VLOOKUP(produto!$A$1&amp;resumo!B21,so_a_base!$A$6:$G$176,7,0))</f>
        <v>157.3</v>
      </c>
      <c r="D21" s="10">
        <f t="shared" si="0"/>
        <v>2.86</v>
      </c>
      <c r="E21" s="10">
        <f t="shared" si="1"/>
        <v>2.8576878707227786</v>
      </c>
      <c r="G21" s="11"/>
      <c r="Q21" s="7"/>
    </row>
    <row r="22" spans="1:17" ht="15">
      <c r="A22" s="8" t="s">
        <v>25</v>
      </c>
      <c r="B22" s="13" t="s">
        <v>26</v>
      </c>
      <c r="C22" s="10">
        <f>IF(VLOOKUP(produto!$A$1&amp;resumo!B22,so_a_base!$A$6:$G$176,7,0)="-","-",VLOOKUP(produto!$A$1&amp;resumo!B22,so_a_base!$A$6:$G$176,7,0))</f>
        <v>55.52</v>
      </c>
      <c r="D22" s="10">
        <f t="shared" si="0"/>
        <v>1.01</v>
      </c>
      <c r="E22" s="10">
        <f t="shared" si="1"/>
        <v>1.0086384652417588</v>
      </c>
      <c r="G22" s="11"/>
      <c r="Q22" s="7"/>
    </row>
    <row r="23" spans="1:17" ht="15">
      <c r="A23" s="8" t="s">
        <v>27</v>
      </c>
      <c r="B23" s="13" t="s">
        <v>28</v>
      </c>
      <c r="C23" s="10">
        <f>IF(VLOOKUP(produto!$A$1&amp;resumo!B23,so_a_base!$A$6:$G$176,7,0)="-","-",VLOOKUP(produto!$A$1&amp;resumo!B23,so_a_base!$A$6:$G$176,7,0))</f>
        <v>81.73</v>
      </c>
      <c r="D23" s="10">
        <f t="shared" si="0"/>
        <v>1.49</v>
      </c>
      <c r="E23" s="10">
        <f t="shared" si="1"/>
        <v>1.4847986629000172</v>
      </c>
      <c r="G23" s="11"/>
      <c r="Q23" s="7"/>
    </row>
    <row r="24" spans="1:17" ht="15">
      <c r="A24" s="8" t="s">
        <v>29</v>
      </c>
      <c r="B24" s="13" t="s">
        <v>30</v>
      </c>
      <c r="C24" s="10">
        <f>IF(VLOOKUP(produto!$A$1&amp;resumo!B24,so_a_base!$A$6:$G$176,7,0)="-","-",VLOOKUP(produto!$A$1&amp;resumo!B24,so_a_base!$A$6:$G$176,7,0))</f>
        <v>132.74</v>
      </c>
      <c r="D24" s="10">
        <f t="shared" si="0"/>
        <v>2.41</v>
      </c>
      <c r="E24" s="10">
        <f t="shared" si="1"/>
        <v>2.411503419960214</v>
      </c>
      <c r="G24" s="11"/>
      <c r="Q24" s="7"/>
    </row>
    <row r="25" spans="1:17" ht="15.75">
      <c r="A25" s="14"/>
      <c r="B25" s="15" t="s">
        <v>31</v>
      </c>
      <c r="C25" s="16">
        <f>SUM(C14:C24)</f>
        <v>3203.2400000000007</v>
      </c>
      <c r="D25" s="16">
        <f>SUM(D14:D24)</f>
        <v>58.239999999999995</v>
      </c>
      <c r="E25" s="16">
        <f>SUM(E14:E24)</f>
        <v>58.19364332494617</v>
      </c>
      <c r="G25" s="11"/>
      <c r="J25" s="46"/>
      <c r="K25" s="46"/>
      <c r="Q25" s="7"/>
    </row>
    <row r="26" spans="1:17" ht="15">
      <c r="A26" s="8" t="s">
        <v>9</v>
      </c>
      <c r="B26" s="13" t="s">
        <v>32</v>
      </c>
      <c r="C26" s="10">
        <f>IF(VLOOKUP(produto!$A$1&amp;resumo!B26,so_a_base!$A$6:$G$176,7,0)="-","-",VLOOKUP(produto!$A$1&amp;resumo!B26,so_a_base!$A$6:$G$176,7,0))</f>
        <v>487.13</v>
      </c>
      <c r="D26" s="10">
        <f aca="true" t="shared" si="2" ref="D26:D31">IF(ISERROR(C26/$D$11),"-",ROUND(C26/$D$11,2))</f>
        <v>8.86</v>
      </c>
      <c r="E26" s="10">
        <f aca="true" t="shared" si="3" ref="E26:E31">IF(ISERROR((C26/$C$38)*100),"-",((C26/$C$38)*100))</f>
        <v>8.849748839575252</v>
      </c>
      <c r="G26" s="11"/>
      <c r="Q26" s="7"/>
    </row>
    <row r="27" spans="1:17" ht="15">
      <c r="A27" s="8" t="s">
        <v>11</v>
      </c>
      <c r="B27" s="13" t="s">
        <v>33</v>
      </c>
      <c r="C27" s="10">
        <f>IF(VLOOKUP(produto!$A$1&amp;resumo!B27,so_a_base!$A$6:$G$176,7,0)="-","-",VLOOKUP(produto!$A$1&amp;resumo!B27,so_a_base!$A$6:$G$176,7,0))</f>
        <v>57.11</v>
      </c>
      <c r="D27" s="10">
        <f t="shared" si="2"/>
        <v>1.04</v>
      </c>
      <c r="E27" s="10">
        <f t="shared" si="3"/>
        <v>1.037524184977609</v>
      </c>
      <c r="G27" s="11"/>
      <c r="Q27" s="7"/>
    </row>
    <row r="28" spans="1:17" ht="15">
      <c r="A28" s="8" t="s">
        <v>13</v>
      </c>
      <c r="B28" s="13" t="s">
        <v>34</v>
      </c>
      <c r="C28" s="10">
        <f>IF(VLOOKUP(produto!$A$1&amp;resumo!B28,so_a_base!$A$6:$G$176,7,0)="-","-",VLOOKUP(produto!$A$1&amp;resumo!B28,so_a_base!$A$6:$G$176,7,0))</f>
        <v>108.59</v>
      </c>
      <c r="D28" s="10">
        <f t="shared" si="2"/>
        <v>1.97</v>
      </c>
      <c r="E28" s="10">
        <f t="shared" si="3"/>
        <v>1.9727674881232455</v>
      </c>
      <c r="G28" s="11"/>
      <c r="Q28" s="7"/>
    </row>
    <row r="29" spans="1:17" ht="15">
      <c r="A29" s="8" t="s">
        <v>15</v>
      </c>
      <c r="B29" s="13" t="s">
        <v>35</v>
      </c>
      <c r="C29" s="10" t="str">
        <f>IF(VLOOKUP(produto!$A$1&amp;resumo!B29,so_a_base!$A$6:$G$176,7,0)="-","-",VLOOKUP(produto!$A$1&amp;resumo!B29,so_a_base!$A$6:$G$176,7,0))</f>
        <v>-</v>
      </c>
      <c r="D29" s="10" t="str">
        <f t="shared" si="2"/>
        <v>-</v>
      </c>
      <c r="E29" s="10" t="str">
        <f t="shared" si="3"/>
        <v>-</v>
      </c>
      <c r="G29" s="11"/>
      <c r="Q29" s="7"/>
    </row>
    <row r="30" spans="1:7" ht="15">
      <c r="A30" s="8" t="s">
        <v>17</v>
      </c>
      <c r="B30" s="13" t="s">
        <v>36</v>
      </c>
      <c r="C30" s="10">
        <f>IF(VLOOKUP(produto!$A$1&amp;resumo!B30,so_a_base!$A$6:$G$176,7,0)="-","-",VLOOKUP(produto!$A$1&amp;resumo!B30,so_a_base!$A$6:$G$176,7,0))</f>
        <v>35.66</v>
      </c>
      <c r="D30" s="10">
        <f t="shared" si="2"/>
        <v>0.65</v>
      </c>
      <c r="E30" s="10">
        <f t="shared" si="3"/>
        <v>0.6478394753335935</v>
      </c>
      <c r="G30" s="11"/>
    </row>
    <row r="31" spans="1:10" ht="15">
      <c r="A31" s="8" t="s">
        <v>19</v>
      </c>
      <c r="B31" s="9" t="s">
        <v>37</v>
      </c>
      <c r="C31" s="10">
        <f>IF(VLOOKUP(produto!$A$1&amp;resumo!B31,so_a_base!$A$6:$G$176,7,0)="-","-",VLOOKUP(produto!$A$1&amp;resumo!B31,so_a_base!$A$6:$G$176,7,0))</f>
        <v>236.4</v>
      </c>
      <c r="D31" s="10">
        <f t="shared" si="2"/>
        <v>4.3</v>
      </c>
      <c r="E31" s="10">
        <f t="shared" si="3"/>
        <v>4.294707009782994</v>
      </c>
      <c r="G31" s="11"/>
      <c r="H31" s="17"/>
      <c r="I31" s="17"/>
      <c r="J31" s="17"/>
    </row>
    <row r="32" spans="1:10" ht="15">
      <c r="A32" s="14"/>
      <c r="B32" s="15" t="s">
        <v>38</v>
      </c>
      <c r="C32" s="16">
        <f>SUM(C26:C31)</f>
        <v>924.89</v>
      </c>
      <c r="D32" s="16">
        <f>SUM(D26:D31)</f>
        <v>16.82</v>
      </c>
      <c r="E32" s="16">
        <f>SUM(E26:E31)</f>
        <v>16.802586997792694</v>
      </c>
      <c r="G32" s="11"/>
      <c r="H32" s="17"/>
      <c r="I32" s="17"/>
      <c r="J32" s="17"/>
    </row>
    <row r="33" spans="1:7" ht="15">
      <c r="A33" s="8" t="s">
        <v>21</v>
      </c>
      <c r="B33" s="13" t="s">
        <v>39</v>
      </c>
      <c r="C33" s="10">
        <f>IF(VLOOKUP(produto!$A$1&amp;resumo!B33,so_a_base!$A$6:$G$176,7,0)="-","-",VLOOKUP(produto!$A$1&amp;resumo!B33,so_a_base!$A$6:$G$176,7,0))</f>
        <v>330.77</v>
      </c>
      <c r="D33" s="10">
        <f>IF(ISERROR(C33/$D$11),"-",ROUND(C33/$D$11,2))</f>
        <v>6.01</v>
      </c>
      <c r="E33" s="10">
        <f>IF(ISERROR((C33/$C$38)*100),"-",((C33/$C$38)*100))</f>
        <v>6.009138061023353</v>
      </c>
      <c r="G33" s="11"/>
    </row>
    <row r="34" spans="1:7" ht="15">
      <c r="A34" s="8" t="s">
        <v>23</v>
      </c>
      <c r="B34" s="13" t="s">
        <v>40</v>
      </c>
      <c r="C34" s="10">
        <f>IF(VLOOKUP(produto!$A$1&amp;resumo!B34,so_a_base!$A$6:$G$176,7,0)="-","-",VLOOKUP(produto!$A$1&amp;resumo!B34,so_a_base!$A$6:$G$176,7,0))</f>
        <v>1045.55</v>
      </c>
      <c r="D34" s="10">
        <f>IF(ISERROR(C34/$D$11),"-",ROUND(C34/$D$11,2))</f>
        <v>19.01</v>
      </c>
      <c r="E34" s="10">
        <f>IF(ISERROR((C34/$C$38)*100),"-",((C34/$C$38)*100))</f>
        <v>18.99463161623777</v>
      </c>
      <c r="G34" s="11"/>
    </row>
    <row r="35" spans="1:7" ht="15">
      <c r="A35" s="14"/>
      <c r="B35" s="18" t="s">
        <v>41</v>
      </c>
      <c r="C35" s="16">
        <f>SUM(C33:C34)</f>
        <v>1376.32</v>
      </c>
      <c r="D35" s="16">
        <f>SUM(D33:D34)</f>
        <v>25.020000000000003</v>
      </c>
      <c r="E35" s="16">
        <f>SUM(E33:E34)</f>
        <v>25.003769677261122</v>
      </c>
      <c r="G35" s="11"/>
    </row>
    <row r="36" spans="1:5" ht="15">
      <c r="A36" s="19"/>
      <c r="B36" s="9" t="s">
        <v>42</v>
      </c>
      <c r="C36" s="10">
        <f>C32+C35</f>
        <v>2301.21</v>
      </c>
      <c r="D36" s="10">
        <f>D32+D35</f>
        <v>41.84</v>
      </c>
      <c r="E36" s="10">
        <f>E32+E35</f>
        <v>41.80635667505382</v>
      </c>
    </row>
    <row r="37" spans="1:5" ht="15">
      <c r="A37" s="19"/>
      <c r="B37" s="13" t="s">
        <v>43</v>
      </c>
      <c r="C37" s="10">
        <f>C25+C32</f>
        <v>4128.130000000001</v>
      </c>
      <c r="D37" s="10">
        <f>D25+D32</f>
        <v>75.06</v>
      </c>
      <c r="E37" s="10">
        <f>E25+E32</f>
        <v>74.99623032273887</v>
      </c>
    </row>
    <row r="38" spans="1:5" ht="15">
      <c r="A38" s="14"/>
      <c r="B38" s="18" t="s">
        <v>44</v>
      </c>
      <c r="C38" s="16">
        <f>C25+C32+C35</f>
        <v>5504.450000000001</v>
      </c>
      <c r="D38" s="16">
        <f>D25+D32+D35</f>
        <v>100.08000000000001</v>
      </c>
      <c r="E38" s="16">
        <f>E25+E32+E35</f>
        <v>99.99999999999999</v>
      </c>
    </row>
    <row r="39" spans="1:5" ht="12.75">
      <c r="A39" s="20" t="s">
        <v>45</v>
      </c>
      <c r="B39" s="20"/>
      <c r="C39" s="21"/>
      <c r="D39" s="21"/>
      <c r="E39" s="21"/>
    </row>
    <row r="40" ht="12.75">
      <c r="A40" s="1" t="s">
        <v>46</v>
      </c>
    </row>
  </sheetData>
  <sheetProtection selectLockedCells="1" selectUnlockedCells="1"/>
  <mergeCells count="6">
    <mergeCell ref="A13:B13"/>
    <mergeCell ref="J25:K25"/>
    <mergeCell ref="A6:E6"/>
    <mergeCell ref="A8:B8"/>
    <mergeCell ref="A10:B10"/>
    <mergeCell ref="B11:C11"/>
  </mergeCells>
  <conditionalFormatting sqref="B14:B28 C25:E25">
    <cfRule type="cellIs" priority="1" dxfId="0" operator="equal" stopIfTrue="1">
      <formula>0</formula>
    </cfRule>
  </conditionalFormatting>
  <printOptions/>
  <pageMargins left="0.39375" right="0.39375" top="0.7875" bottom="0.7875" header="0.5118055555555555" footer="0.5118055555555555"/>
  <pageSetup fitToHeight="1" fitToWidth="1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6"/>
  <sheetViews>
    <sheetView showGridLines="0" zoomScalePageLayoutView="0" workbookViewId="0" topLeftCell="B1">
      <selection activeCell="G20" sqref="G20"/>
    </sheetView>
  </sheetViews>
  <sheetFormatPr defaultColWidth="9.140625" defaultRowHeight="12.75"/>
  <cols>
    <col min="1" max="1" width="38.421875" style="22" customWidth="1"/>
    <col min="2" max="5" width="9.140625" style="22" customWidth="1"/>
    <col min="6" max="6" width="45.7109375" style="22" customWidth="1"/>
    <col min="7" max="7" width="8.00390625" style="22" customWidth="1"/>
    <col min="8" max="8" width="11.57421875" style="22" customWidth="1"/>
    <col min="9" max="9" width="13.57421875" style="22" customWidth="1"/>
    <col min="10" max="10" width="13.8515625" style="22" customWidth="1"/>
    <col min="11" max="11" width="12.8515625" style="22" customWidth="1"/>
    <col min="12" max="12" width="14.28125" style="23" customWidth="1"/>
    <col min="13" max="16384" width="9.140625" style="22" customWidth="1"/>
  </cols>
  <sheetData>
    <row r="1" ht="12.75">
      <c r="L1" s="22"/>
    </row>
    <row r="2" spans="8:31" ht="15"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8:31" ht="15"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8:31" ht="15">
      <c r="H4" s="22">
        <v>1</v>
      </c>
      <c r="I4" s="22">
        <v>2</v>
      </c>
      <c r="J4" s="22">
        <v>3</v>
      </c>
      <c r="K4" s="22">
        <v>4</v>
      </c>
      <c r="L4" s="22">
        <v>5</v>
      </c>
      <c r="N4" s="26"/>
      <c r="O4" s="27"/>
      <c r="P4" s="27"/>
      <c r="Q4" s="27"/>
      <c r="R4" s="27"/>
      <c r="S4" s="27"/>
      <c r="T4" s="26"/>
      <c r="U4" s="27"/>
      <c r="V4" s="27"/>
      <c r="W4" s="27"/>
      <c r="X4" s="27"/>
      <c r="Y4" s="27"/>
      <c r="Z4" s="27"/>
      <c r="AA4" s="27"/>
      <c r="AB4" s="27"/>
      <c r="AC4" s="26"/>
      <c r="AD4" s="27"/>
      <c r="AE4" s="27"/>
    </row>
    <row r="5" spans="1:13" ht="15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51</v>
      </c>
      <c r="F5" s="22" t="s">
        <v>52</v>
      </c>
      <c r="G5" s="22" t="s">
        <v>53</v>
      </c>
      <c r="H5" s="28">
        <v>44044</v>
      </c>
      <c r="I5" s="28">
        <v>44136</v>
      </c>
      <c r="J5" s="28">
        <v>44228</v>
      </c>
      <c r="K5" s="28">
        <v>44317</v>
      </c>
      <c r="L5" s="28">
        <v>44409</v>
      </c>
      <c r="M5" s="27"/>
    </row>
    <row r="6" spans="1:31" ht="15">
      <c r="A6" s="22" t="str">
        <f aca="true" t="shared" si="0" ref="A6:A176">B6&amp;F6</f>
        <v>1Operação de máquinas e implementos</v>
      </c>
      <c r="B6" s="22">
        <v>1</v>
      </c>
      <c r="C6" s="22">
        <v>1000</v>
      </c>
      <c r="D6" s="22" t="str">
        <f aca="true" t="shared" si="1" ref="D6:D176">C6&amp;B6</f>
        <v>10001</v>
      </c>
      <c r="E6" s="22">
        <v>3</v>
      </c>
      <c r="F6" s="29" t="s">
        <v>10</v>
      </c>
      <c r="G6" s="30">
        <f>HLOOKUP(mes_ano!$A$1,$H$4:$Q$176,E6,0)</f>
        <v>1117.1</v>
      </c>
      <c r="H6" s="22">
        <v>784.89</v>
      </c>
      <c r="I6" s="31">
        <v>819.25</v>
      </c>
      <c r="J6" s="31">
        <v>901.52</v>
      </c>
      <c r="K6" s="31">
        <v>1058.04</v>
      </c>
      <c r="L6" s="31">
        <v>1117.1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5">
      <c r="A7" s="22" t="str">
        <f t="shared" si="0"/>
        <v>1Despesas de manutenção de benfeitorias</v>
      </c>
      <c r="B7" s="22">
        <v>1</v>
      </c>
      <c r="C7" s="22">
        <v>1000</v>
      </c>
      <c r="D7" s="22" t="str">
        <f t="shared" si="1"/>
        <v>10001</v>
      </c>
      <c r="E7" s="22">
        <v>4</v>
      </c>
      <c r="F7" s="33" t="s">
        <v>12</v>
      </c>
      <c r="G7" s="30">
        <f>HLOOKUP(mes_ano!$A$1,$H$4:$Q$176,E7,0)</f>
        <v>96.26</v>
      </c>
      <c r="H7" s="22">
        <v>85.57</v>
      </c>
      <c r="I7" s="31">
        <v>87.01</v>
      </c>
      <c r="J7" s="31">
        <v>85.59</v>
      </c>
      <c r="K7" s="31">
        <v>87.76</v>
      </c>
      <c r="L7" s="31">
        <v>96.26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>
      <c r="A8" s="22" t="str">
        <f t="shared" si="0"/>
        <v>1Mão-de-obra temporária</v>
      </c>
      <c r="B8" s="22">
        <v>1</v>
      </c>
      <c r="C8" s="22">
        <v>1000</v>
      </c>
      <c r="D8" s="22" t="str">
        <f t="shared" si="1"/>
        <v>10001</v>
      </c>
      <c r="E8" s="22">
        <v>5</v>
      </c>
      <c r="F8" s="33" t="s">
        <v>14</v>
      </c>
      <c r="G8" s="30">
        <f>HLOOKUP(mes_ano!$A$1,$H$4:$Q$176,E8,0)</f>
        <v>11104.52</v>
      </c>
      <c r="H8" s="22">
        <v>11198.84</v>
      </c>
      <c r="I8" s="31">
        <v>10868.98</v>
      </c>
      <c r="J8" s="31">
        <v>10605.92</v>
      </c>
      <c r="K8" s="31">
        <v>10467.5</v>
      </c>
      <c r="L8" s="31">
        <v>11104.52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>
      <c r="A9" s="22" t="str">
        <f t="shared" si="0"/>
        <v>1Sementes/Manivas</v>
      </c>
      <c r="B9" s="22">
        <v>1</v>
      </c>
      <c r="C9" s="22">
        <v>1000</v>
      </c>
      <c r="D9" s="22" t="str">
        <f t="shared" si="1"/>
        <v>10001</v>
      </c>
      <c r="E9" s="22">
        <v>6</v>
      </c>
      <c r="F9" s="33" t="s">
        <v>16</v>
      </c>
      <c r="G9" s="30" t="str">
        <f>HLOOKUP(mes_ano!$A$1,$H$4:$Q$176,E9,0)</f>
        <v>-</v>
      </c>
      <c r="H9" s="22" t="s">
        <v>54</v>
      </c>
      <c r="I9" s="31" t="s">
        <v>75</v>
      </c>
      <c r="J9" s="31" t="s">
        <v>54</v>
      </c>
      <c r="K9" s="31" t="s">
        <v>54</v>
      </c>
      <c r="L9" s="44" t="s">
        <v>54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>
      <c r="A10" s="22" t="str">
        <f t="shared" si="0"/>
        <v>1Fertilizantes</v>
      </c>
      <c r="B10" s="22">
        <v>1</v>
      </c>
      <c r="C10" s="22">
        <v>1000</v>
      </c>
      <c r="D10" s="22" t="str">
        <f t="shared" si="1"/>
        <v>10001</v>
      </c>
      <c r="E10" s="22">
        <v>7</v>
      </c>
      <c r="F10" s="33" t="s">
        <v>18</v>
      </c>
      <c r="G10" s="30">
        <f>HLOOKUP(mes_ano!$A$1,$H$4:$Q$176,E10,0)</f>
        <v>5618.2</v>
      </c>
      <c r="H10" s="22">
        <v>3887.5</v>
      </c>
      <c r="I10" s="31">
        <v>4147.95</v>
      </c>
      <c r="J10" s="31">
        <v>4621.9</v>
      </c>
      <c r="K10" s="31">
        <v>4817.5</v>
      </c>
      <c r="L10" s="31">
        <v>5618.2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>
      <c r="A11" s="22" t="str">
        <f t="shared" si="0"/>
        <v>1Agrotóxicos</v>
      </c>
      <c r="B11" s="22">
        <v>1</v>
      </c>
      <c r="C11" s="22">
        <v>1000</v>
      </c>
      <c r="D11" s="22" t="str">
        <f t="shared" si="1"/>
        <v>10001</v>
      </c>
      <c r="E11" s="22">
        <v>8</v>
      </c>
      <c r="F11" s="33" t="s">
        <v>20</v>
      </c>
      <c r="G11" s="30">
        <f>HLOOKUP(mes_ano!$A$1,$H$4:$Q$176,E11,0)</f>
        <v>3832.33</v>
      </c>
      <c r="H11" s="22">
        <v>3385.57</v>
      </c>
      <c r="I11" s="31">
        <v>3521.28</v>
      </c>
      <c r="J11" s="31">
        <v>3529.49</v>
      </c>
      <c r="K11" s="31">
        <v>3710.7</v>
      </c>
      <c r="L11" s="31">
        <v>3832.33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>
      <c r="A12" s="22" t="str">
        <f t="shared" si="0"/>
        <v>1Despesas gerais</v>
      </c>
      <c r="B12" s="22">
        <v>1</v>
      </c>
      <c r="C12" s="22">
        <v>1000</v>
      </c>
      <c r="D12" s="22" t="str">
        <f t="shared" si="1"/>
        <v>10001</v>
      </c>
      <c r="E12" s="22">
        <v>9</v>
      </c>
      <c r="F12" s="33" t="s">
        <v>22</v>
      </c>
      <c r="G12" s="30">
        <f>HLOOKUP(mes_ano!$A$1,$H$4:$Q$176,E12,0)</f>
        <v>441.05</v>
      </c>
      <c r="H12" s="22">
        <v>392.4</v>
      </c>
      <c r="I12" s="31">
        <v>394.3</v>
      </c>
      <c r="J12" s="31">
        <v>400.49</v>
      </c>
      <c r="K12" s="31">
        <v>408.46</v>
      </c>
      <c r="L12" s="31">
        <v>441.05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>
      <c r="A13" s="22" t="str">
        <f t="shared" si="0"/>
        <v>1Transporte externo</v>
      </c>
      <c r="B13" s="22">
        <v>1</v>
      </c>
      <c r="C13" s="22">
        <v>1000</v>
      </c>
      <c r="D13" s="22" t="str">
        <f t="shared" si="1"/>
        <v>10001</v>
      </c>
      <c r="E13" s="22">
        <v>10</v>
      </c>
      <c r="F13" s="29" t="s">
        <v>24</v>
      </c>
      <c r="G13" s="30">
        <f>HLOOKUP(mes_ano!$A$1,$H$4:$Q$176,E13,0)</f>
        <v>343.2</v>
      </c>
      <c r="H13" s="22">
        <v>261.6</v>
      </c>
      <c r="I13" s="31">
        <v>267.6</v>
      </c>
      <c r="J13" s="31">
        <v>253.2</v>
      </c>
      <c r="K13" s="31">
        <v>266.4</v>
      </c>
      <c r="L13" s="31">
        <v>343.2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>
      <c r="A14" s="22" t="str">
        <f t="shared" si="0"/>
        <v>1Assistência técnica</v>
      </c>
      <c r="B14" s="22">
        <v>1</v>
      </c>
      <c r="C14" s="22">
        <v>1000</v>
      </c>
      <c r="D14" s="22" t="str">
        <f t="shared" si="1"/>
        <v>10001</v>
      </c>
      <c r="E14" s="22">
        <v>11</v>
      </c>
      <c r="F14" s="33" t="s">
        <v>26</v>
      </c>
      <c r="G14" s="30">
        <f>HLOOKUP(mes_ano!$A$1,$H$4:$Q$176,E14,0)</f>
        <v>449.87</v>
      </c>
      <c r="H14" s="22">
        <v>400.25</v>
      </c>
      <c r="I14" s="31">
        <v>402.19</v>
      </c>
      <c r="J14" s="31">
        <v>408.5</v>
      </c>
      <c r="K14" s="31">
        <v>416.63</v>
      </c>
      <c r="L14" s="31">
        <v>449.87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>
      <c r="A15" s="22" t="str">
        <f t="shared" si="0"/>
        <v>1PROAGRO/SEGURO</v>
      </c>
      <c r="B15" s="22">
        <v>1</v>
      </c>
      <c r="C15" s="22">
        <v>1000</v>
      </c>
      <c r="D15" s="22" t="str">
        <f t="shared" si="1"/>
        <v>10001</v>
      </c>
      <c r="E15" s="22">
        <v>12</v>
      </c>
      <c r="F15" s="33" t="s">
        <v>28</v>
      </c>
      <c r="G15" s="30">
        <f>HLOOKUP(mes_ano!$A$1,$H$4:$Q$176,E15,0)</f>
        <v>424.63</v>
      </c>
      <c r="H15" s="22">
        <v>379.78</v>
      </c>
      <c r="I15" s="31">
        <v>381.33</v>
      </c>
      <c r="J15" s="31">
        <v>385.9</v>
      </c>
      <c r="K15" s="31">
        <v>391.66</v>
      </c>
      <c r="L15" s="31">
        <v>424.63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>
      <c r="A16" s="22" t="str">
        <f t="shared" si="0"/>
        <v>1Juros</v>
      </c>
      <c r="B16" s="22">
        <v>1</v>
      </c>
      <c r="C16" s="22">
        <v>1000</v>
      </c>
      <c r="D16" s="22" t="str">
        <f t="shared" si="1"/>
        <v>10001</v>
      </c>
      <c r="E16" s="22">
        <v>13</v>
      </c>
      <c r="F16" s="33" t="s">
        <v>30</v>
      </c>
      <c r="G16" s="30">
        <f>HLOOKUP(mes_ano!$A$1,$H$4:$Q$176,E16,0)</f>
        <v>1094.04</v>
      </c>
      <c r="H16" s="22">
        <v>933.24</v>
      </c>
      <c r="I16" s="31">
        <v>952.02</v>
      </c>
      <c r="J16" s="31">
        <v>979.4</v>
      </c>
      <c r="K16" s="31">
        <v>1006.02</v>
      </c>
      <c r="L16" s="31">
        <v>1094.04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>
      <c r="A17" s="22" t="str">
        <f t="shared" si="0"/>
        <v>1Depreciação de máquinas e implementos</v>
      </c>
      <c r="B17" s="22">
        <v>1</v>
      </c>
      <c r="C17" s="22">
        <v>0</v>
      </c>
      <c r="D17" s="22" t="str">
        <f t="shared" si="1"/>
        <v>01</v>
      </c>
      <c r="E17" s="22">
        <v>14</v>
      </c>
      <c r="F17" s="33" t="s">
        <v>32</v>
      </c>
      <c r="G17" s="30">
        <f>HLOOKUP(mes_ano!$A$1,$H$4:$Q$176,E17,0)</f>
        <v>669.49</v>
      </c>
      <c r="H17" s="22">
        <v>418.02</v>
      </c>
      <c r="I17" s="31">
        <v>448.33</v>
      </c>
      <c r="J17" s="31">
        <v>498.17</v>
      </c>
      <c r="K17" s="31">
        <v>582.03</v>
      </c>
      <c r="L17" s="31">
        <v>669.49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>
      <c r="A18" s="22" t="str">
        <f t="shared" si="0"/>
        <v>1Depreciação de benfeitorias e instalações</v>
      </c>
      <c r="B18" s="22">
        <v>1</v>
      </c>
      <c r="C18" s="22">
        <v>0</v>
      </c>
      <c r="D18" s="22" t="str">
        <f t="shared" si="1"/>
        <v>01</v>
      </c>
      <c r="E18" s="22">
        <v>15</v>
      </c>
      <c r="F18" s="33" t="s">
        <v>33</v>
      </c>
      <c r="G18" s="30">
        <f>HLOOKUP(mes_ano!$A$1,$H$4:$Q$176,E18,0)</f>
        <v>133.57</v>
      </c>
      <c r="H18" s="22">
        <v>119.31</v>
      </c>
      <c r="I18" s="31">
        <v>121.24</v>
      </c>
      <c r="J18" s="31">
        <v>119.33</v>
      </c>
      <c r="K18" s="31">
        <v>122.23</v>
      </c>
      <c r="L18" s="31">
        <v>133.57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>
      <c r="A19" s="22" t="str">
        <f t="shared" si="0"/>
        <v>1Sistematização e correção do solo</v>
      </c>
      <c r="B19" s="22">
        <v>1</v>
      </c>
      <c r="C19" s="22">
        <v>0</v>
      </c>
      <c r="D19" s="22" t="str">
        <f t="shared" si="1"/>
        <v>01</v>
      </c>
      <c r="E19" s="22">
        <v>16</v>
      </c>
      <c r="F19" s="33" t="s">
        <v>34</v>
      </c>
      <c r="G19" s="30">
        <f>HLOOKUP(mes_ano!$A$1,$H$4:$Q$176,E19,0)</f>
        <v>545.18</v>
      </c>
      <c r="H19" s="22">
        <v>431.2</v>
      </c>
      <c r="I19" s="31">
        <v>466.78</v>
      </c>
      <c r="J19" s="31">
        <v>466.36</v>
      </c>
      <c r="K19" s="31">
        <v>543.08</v>
      </c>
      <c r="L19" s="31">
        <v>545.18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5">
      <c r="A20" s="22" t="str">
        <f t="shared" si="0"/>
        <v>1Cultura</v>
      </c>
      <c r="B20" s="22">
        <v>1</v>
      </c>
      <c r="C20" s="22">
        <v>0</v>
      </c>
      <c r="D20" s="22" t="str">
        <f t="shared" si="1"/>
        <v>01</v>
      </c>
      <c r="E20" s="22">
        <v>17</v>
      </c>
      <c r="F20" s="33" t="s">
        <v>35</v>
      </c>
      <c r="G20" s="30">
        <f>HLOOKUP(mes_ano!$A$1,$H$4:$Q$176,E20,0)</f>
        <v>2257.87</v>
      </c>
      <c r="H20" s="22">
        <v>2017.53</v>
      </c>
      <c r="I20" s="31">
        <v>2028.26</v>
      </c>
      <c r="J20" s="31">
        <v>2064.96</v>
      </c>
      <c r="K20" s="31">
        <v>2100.6</v>
      </c>
      <c r="L20" s="31">
        <v>2257.87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5">
      <c r="A21" s="22" t="str">
        <f t="shared" si="0"/>
        <v>1Seguro do capital</v>
      </c>
      <c r="B21" s="22">
        <v>1</v>
      </c>
      <c r="C21" s="22">
        <v>0</v>
      </c>
      <c r="D21" s="22" t="str">
        <f t="shared" si="1"/>
        <v>01</v>
      </c>
      <c r="E21" s="22">
        <v>18</v>
      </c>
      <c r="F21" s="33" t="s">
        <v>36</v>
      </c>
      <c r="G21" s="30">
        <f>HLOOKUP(mes_ano!$A$1,$H$4:$Q$176,E21,0)</f>
        <v>72.27</v>
      </c>
      <c r="H21" s="22">
        <v>56.46</v>
      </c>
      <c r="I21" s="31">
        <v>58.29</v>
      </c>
      <c r="J21" s="31">
        <v>60.17</v>
      </c>
      <c r="K21" s="31">
        <v>64.96</v>
      </c>
      <c r="L21" s="31">
        <v>72.27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5">
      <c r="A22" s="22" t="str">
        <f t="shared" si="0"/>
        <v>1Mão-de-obra permanente</v>
      </c>
      <c r="B22" s="22">
        <v>1</v>
      </c>
      <c r="C22" s="22">
        <v>0</v>
      </c>
      <c r="D22" s="22" t="str">
        <f t="shared" si="1"/>
        <v>01</v>
      </c>
      <c r="E22" s="22">
        <v>19</v>
      </c>
      <c r="F22" s="29" t="s">
        <v>37</v>
      </c>
      <c r="G22" s="30">
        <f>HLOOKUP(mes_ano!$A$1,$H$4:$Q$176,E22,0)</f>
        <v>1755.55</v>
      </c>
      <c r="H22" s="22">
        <v>1580.35</v>
      </c>
      <c r="I22" s="31">
        <v>1581.17</v>
      </c>
      <c r="J22" s="31">
        <v>1610.32</v>
      </c>
      <c r="K22" s="31">
        <v>1639.27</v>
      </c>
      <c r="L22" s="31">
        <v>1755.55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15">
      <c r="A23" s="22" t="str">
        <f t="shared" si="0"/>
        <v>1Remuneração do Capital próprio</v>
      </c>
      <c r="B23" s="22">
        <v>1</v>
      </c>
      <c r="C23" s="22">
        <v>0</v>
      </c>
      <c r="D23" s="22" t="str">
        <f t="shared" si="1"/>
        <v>01</v>
      </c>
      <c r="E23" s="22">
        <v>20</v>
      </c>
      <c r="F23" s="33" t="s">
        <v>39</v>
      </c>
      <c r="G23" s="30">
        <f>HLOOKUP(mes_ano!$A$1,$H$4:$Q$176,E23,0)</f>
        <v>597.83</v>
      </c>
      <c r="H23" s="22">
        <v>431.71</v>
      </c>
      <c r="I23" s="31">
        <v>450.63</v>
      </c>
      <c r="J23" s="31">
        <v>477.2</v>
      </c>
      <c r="K23" s="31">
        <v>529.54</v>
      </c>
      <c r="L23" s="31">
        <v>597.83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5">
      <c r="A24" s="22" t="str">
        <f t="shared" si="0"/>
        <v>1Remuneração da terra</v>
      </c>
      <c r="B24" s="22">
        <v>1</v>
      </c>
      <c r="C24" s="22">
        <v>0</v>
      </c>
      <c r="D24" s="22" t="str">
        <f t="shared" si="1"/>
        <v>01</v>
      </c>
      <c r="E24" s="22">
        <v>21</v>
      </c>
      <c r="F24" s="33" t="s">
        <v>40</v>
      </c>
      <c r="G24" s="30">
        <f>HLOOKUP(mes_ano!$A$1,$H$4:$Q$176,E24,0)</f>
        <v>1045.55</v>
      </c>
      <c r="H24" s="22">
        <v>691.08</v>
      </c>
      <c r="I24" s="31">
        <v>711.13</v>
      </c>
      <c r="J24" s="31">
        <v>750.23</v>
      </c>
      <c r="K24" s="31">
        <v>1068.23</v>
      </c>
      <c r="L24" s="31">
        <v>1045.55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5">
      <c r="A25" s="22" t="str">
        <f t="shared" si="0"/>
        <v>2Operação de máquinas e implementos</v>
      </c>
      <c r="B25" s="22">
        <v>2</v>
      </c>
      <c r="C25" s="22">
        <v>1000</v>
      </c>
      <c r="D25" s="22" t="str">
        <f t="shared" si="1"/>
        <v>10002</v>
      </c>
      <c r="E25" s="22">
        <v>22</v>
      </c>
      <c r="F25" s="29" t="s">
        <v>10</v>
      </c>
      <c r="G25" s="30">
        <f>HLOOKUP(mes_ano!$A$1,$H$4:$Q$176,E25,0)</f>
        <v>228.21</v>
      </c>
      <c r="H25" s="22">
        <v>151.53</v>
      </c>
      <c r="I25" s="34">
        <v>160.99</v>
      </c>
      <c r="J25" s="34">
        <v>176.07</v>
      </c>
      <c r="K25" s="34">
        <v>206.16</v>
      </c>
      <c r="L25" s="34">
        <v>228.21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5">
      <c r="A26" s="22" t="str">
        <f t="shared" si="0"/>
        <v>2Despesas de manutenção de benfeitorias</v>
      </c>
      <c r="B26" s="22">
        <v>2</v>
      </c>
      <c r="C26" s="22">
        <v>1000</v>
      </c>
      <c r="D26" s="22" t="str">
        <f t="shared" si="1"/>
        <v>10002</v>
      </c>
      <c r="E26" s="22">
        <v>23</v>
      </c>
      <c r="F26" s="33" t="s">
        <v>12</v>
      </c>
      <c r="G26" s="30">
        <f>HLOOKUP(mes_ano!$A$1,$H$4:$Q$176,E26,0)</f>
        <v>78.33</v>
      </c>
      <c r="H26" s="22">
        <v>69.48</v>
      </c>
      <c r="I26" s="34">
        <v>70.51</v>
      </c>
      <c r="J26" s="34">
        <v>69.79</v>
      </c>
      <c r="K26" s="34">
        <v>72.21</v>
      </c>
      <c r="L26" s="34">
        <v>78.33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">
      <c r="A27" s="22" t="str">
        <f t="shared" si="0"/>
        <v>2Mão-de-obra temporária</v>
      </c>
      <c r="B27" s="22">
        <v>2</v>
      </c>
      <c r="C27" s="22">
        <v>1000</v>
      </c>
      <c r="D27" s="22" t="str">
        <f t="shared" si="1"/>
        <v>10002</v>
      </c>
      <c r="E27" s="22">
        <v>24</v>
      </c>
      <c r="F27" s="33" t="s">
        <v>14</v>
      </c>
      <c r="G27" s="30">
        <f>HLOOKUP(mes_ano!$A$1,$H$4:$Q$176,E27,0)</f>
        <v>40.79</v>
      </c>
      <c r="H27" s="22">
        <v>37.62</v>
      </c>
      <c r="I27" s="34">
        <v>37.62</v>
      </c>
      <c r="J27" s="34">
        <v>37.74</v>
      </c>
      <c r="K27" s="34">
        <v>38.24</v>
      </c>
      <c r="L27" s="34">
        <v>40.79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>
      <c r="A28" s="22" t="str">
        <f t="shared" si="0"/>
        <v>2Sementes/Manivas</v>
      </c>
      <c r="B28" s="22">
        <v>2</v>
      </c>
      <c r="C28" s="22">
        <v>1000</v>
      </c>
      <c r="D28" s="22" t="str">
        <f t="shared" si="1"/>
        <v>10002</v>
      </c>
      <c r="E28" s="22">
        <v>25</v>
      </c>
      <c r="F28" s="33" t="s">
        <v>16</v>
      </c>
      <c r="G28" s="30">
        <f>HLOOKUP(mes_ano!$A$1,$H$4:$Q$176,E28,0)</f>
        <v>566</v>
      </c>
      <c r="H28" s="22">
        <v>358.5</v>
      </c>
      <c r="I28" s="34">
        <v>416</v>
      </c>
      <c r="J28" s="34">
        <v>446</v>
      </c>
      <c r="K28" s="34">
        <v>480.5</v>
      </c>
      <c r="L28" s="34">
        <v>566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5">
      <c r="A29" s="22" t="str">
        <f t="shared" si="0"/>
        <v>2Fertilizantes</v>
      </c>
      <c r="B29" s="22">
        <v>2</v>
      </c>
      <c r="C29" s="22">
        <v>1000</v>
      </c>
      <c r="D29" s="22" t="str">
        <f t="shared" si="1"/>
        <v>10002</v>
      </c>
      <c r="E29" s="22">
        <v>26</v>
      </c>
      <c r="F29" s="33" t="s">
        <v>18</v>
      </c>
      <c r="G29" s="30">
        <f>HLOOKUP(mes_ano!$A$1,$H$4:$Q$176,E29,0)</f>
        <v>1114</v>
      </c>
      <c r="H29" s="22">
        <v>653</v>
      </c>
      <c r="I29" s="34">
        <v>708</v>
      </c>
      <c r="J29" s="34">
        <v>807</v>
      </c>
      <c r="K29" s="34">
        <v>937</v>
      </c>
      <c r="L29" s="34">
        <v>1114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5">
      <c r="A30" s="22" t="str">
        <f t="shared" si="0"/>
        <v>2Agrotóxicos</v>
      </c>
      <c r="B30" s="22">
        <v>2</v>
      </c>
      <c r="C30" s="22">
        <v>1000</v>
      </c>
      <c r="D30" s="22" t="str">
        <f t="shared" si="1"/>
        <v>10002</v>
      </c>
      <c r="E30" s="22">
        <v>27</v>
      </c>
      <c r="F30" s="33" t="s">
        <v>20</v>
      </c>
      <c r="G30" s="30">
        <f>HLOOKUP(mes_ano!$A$1,$H$4:$Q$176,E30,0)</f>
        <v>795.38</v>
      </c>
      <c r="H30" s="22">
        <v>675.1</v>
      </c>
      <c r="I30" s="34">
        <v>667.29</v>
      </c>
      <c r="J30" s="34">
        <v>709.39</v>
      </c>
      <c r="K30" s="34">
        <v>745.25</v>
      </c>
      <c r="L30" s="34">
        <v>795.38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>
      <c r="A31" s="22" t="str">
        <f t="shared" si="0"/>
        <v>2Despesas gerais</v>
      </c>
      <c r="B31" s="22">
        <v>2</v>
      </c>
      <c r="C31" s="22">
        <v>1000</v>
      </c>
      <c r="D31" s="22" t="str">
        <f t="shared" si="1"/>
        <v>10002</v>
      </c>
      <c r="E31" s="22">
        <v>28</v>
      </c>
      <c r="F31" s="33" t="s">
        <v>22</v>
      </c>
      <c r="G31" s="30">
        <f>HLOOKUP(mes_ano!$A$1,$H$4:$Q$176,E31,0)</f>
        <v>63.91</v>
      </c>
      <c r="H31" s="22">
        <v>46.19</v>
      </c>
      <c r="I31" s="34">
        <v>48.54</v>
      </c>
      <c r="J31" s="34">
        <v>52.28</v>
      </c>
      <c r="K31" s="34">
        <v>49.97</v>
      </c>
      <c r="L31" s="34">
        <v>63.91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5">
      <c r="A32" s="22" t="str">
        <f t="shared" si="0"/>
        <v>2Transporte externo</v>
      </c>
      <c r="B32" s="22">
        <v>2</v>
      </c>
      <c r="C32" s="22">
        <v>1000</v>
      </c>
      <c r="D32" s="22" t="str">
        <f t="shared" si="1"/>
        <v>10002</v>
      </c>
      <c r="E32" s="22">
        <v>29</v>
      </c>
      <c r="F32" s="29" t="s">
        <v>24</v>
      </c>
      <c r="G32" s="30">
        <f>HLOOKUP(mes_ano!$A$1,$H$4:$Q$176,E32,0)</f>
        <v>85.8</v>
      </c>
      <c r="H32" s="22">
        <v>65.4</v>
      </c>
      <c r="I32" s="34">
        <v>66.9</v>
      </c>
      <c r="J32" s="34">
        <v>63.3</v>
      </c>
      <c r="K32" s="34">
        <v>66.6</v>
      </c>
      <c r="L32" s="34">
        <v>85.8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5">
      <c r="A33" s="22" t="str">
        <f t="shared" si="0"/>
        <v>2Assistência técnica</v>
      </c>
      <c r="B33" s="22">
        <v>2</v>
      </c>
      <c r="C33" s="22">
        <v>1000</v>
      </c>
      <c r="D33" s="22" t="str">
        <f t="shared" si="1"/>
        <v>10002</v>
      </c>
      <c r="E33" s="22">
        <v>30</v>
      </c>
      <c r="F33" s="33" t="s">
        <v>26</v>
      </c>
      <c r="G33" s="30">
        <f>HLOOKUP(mes_ano!$A$1,$H$4:$Q$176,E33,0)</f>
        <v>65.19</v>
      </c>
      <c r="H33" s="22">
        <v>47.12</v>
      </c>
      <c r="I33" s="34">
        <v>49.51</v>
      </c>
      <c r="J33" s="34">
        <v>53.32</v>
      </c>
      <c r="K33" s="34">
        <v>50.97</v>
      </c>
      <c r="L33" s="34">
        <v>65.19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15">
      <c r="A34" s="22" t="str">
        <f t="shared" si="0"/>
        <v>2PROAGRO/SEGURO</v>
      </c>
      <c r="B34" s="22">
        <v>2</v>
      </c>
      <c r="C34" s="22">
        <v>1000</v>
      </c>
      <c r="D34" s="22" t="str">
        <f t="shared" si="1"/>
        <v>10002</v>
      </c>
      <c r="E34" s="22">
        <v>31</v>
      </c>
      <c r="F34" s="33" t="s">
        <v>28</v>
      </c>
      <c r="G34" s="30">
        <f>HLOOKUP(mes_ano!$A$1,$H$4:$Q$176,E34,0)</f>
        <v>89.9</v>
      </c>
      <c r="H34" s="22">
        <v>61.49</v>
      </c>
      <c r="I34" s="34">
        <v>65.27</v>
      </c>
      <c r="J34" s="34">
        <v>71.13</v>
      </c>
      <c r="K34" s="34">
        <v>78.76</v>
      </c>
      <c r="L34" s="34">
        <v>89.9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ht="15">
      <c r="A35" s="22" t="str">
        <f t="shared" si="0"/>
        <v>2Juros</v>
      </c>
      <c r="B35" s="22">
        <v>2</v>
      </c>
      <c r="C35" s="22">
        <v>1000</v>
      </c>
      <c r="D35" s="22" t="str">
        <f t="shared" si="1"/>
        <v>10002</v>
      </c>
      <c r="E35" s="22">
        <v>32</v>
      </c>
      <c r="F35" s="33" t="s">
        <v>30</v>
      </c>
      <c r="G35" s="30">
        <f>HLOOKUP(mes_ano!$A$1,$H$4:$Q$176,E35,0)</f>
        <v>97.12</v>
      </c>
      <c r="H35" s="22">
        <v>68.58</v>
      </c>
      <c r="I35" s="34">
        <v>72.31</v>
      </c>
      <c r="J35" s="34">
        <v>78.23</v>
      </c>
      <c r="K35" s="34">
        <v>78.9</v>
      </c>
      <c r="L35" s="34">
        <v>97.12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15">
      <c r="A36" s="22" t="str">
        <f t="shared" si="0"/>
        <v>2Depreciação de máquinas e implementos</v>
      </c>
      <c r="B36" s="22">
        <v>2</v>
      </c>
      <c r="C36" s="22">
        <v>0</v>
      </c>
      <c r="D36" s="22" t="str">
        <f t="shared" si="1"/>
        <v>02</v>
      </c>
      <c r="E36" s="22">
        <v>33</v>
      </c>
      <c r="F36" s="33" t="s">
        <v>32</v>
      </c>
      <c r="G36" s="30">
        <f>HLOOKUP(mes_ano!$A$1,$H$4:$Q$176,E36,0)</f>
        <v>173.96</v>
      </c>
      <c r="H36" s="22">
        <v>104.34</v>
      </c>
      <c r="I36" s="34">
        <v>115.15</v>
      </c>
      <c r="J36" s="34">
        <v>125.12</v>
      </c>
      <c r="K36" s="34">
        <v>146.12</v>
      </c>
      <c r="L36" s="34">
        <v>173.96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15">
      <c r="A37" s="22" t="str">
        <f t="shared" si="0"/>
        <v>2Depreciação de benfeitorias e instalações</v>
      </c>
      <c r="B37" s="22">
        <v>2</v>
      </c>
      <c r="C37" s="22">
        <v>0</v>
      </c>
      <c r="D37" s="22" t="str">
        <f t="shared" si="1"/>
        <v>02</v>
      </c>
      <c r="E37" s="22">
        <v>34</v>
      </c>
      <c r="F37" s="33" t="s">
        <v>33</v>
      </c>
      <c r="G37" s="30">
        <f>HLOOKUP(mes_ano!$A$1,$H$4:$Q$176,E37,0)</f>
        <v>90.95</v>
      </c>
      <c r="H37" s="22">
        <v>82.23</v>
      </c>
      <c r="I37" s="34">
        <v>83.62</v>
      </c>
      <c r="J37" s="34">
        <v>81.86</v>
      </c>
      <c r="K37" s="34">
        <v>82.79</v>
      </c>
      <c r="L37" s="34">
        <v>90.95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15">
      <c r="A38" s="22" t="str">
        <f t="shared" si="0"/>
        <v>2Sistematização e correção do solo</v>
      </c>
      <c r="B38" s="22">
        <v>2</v>
      </c>
      <c r="C38" s="22">
        <v>0</v>
      </c>
      <c r="D38" s="22" t="str">
        <f t="shared" si="1"/>
        <v>02</v>
      </c>
      <c r="E38" s="22">
        <v>35</v>
      </c>
      <c r="F38" s="33" t="s">
        <v>34</v>
      </c>
      <c r="G38" s="30">
        <f>HLOOKUP(mes_ano!$A$1,$H$4:$Q$176,E38,0)</f>
        <v>105.97</v>
      </c>
      <c r="H38" s="22">
        <v>83.72</v>
      </c>
      <c r="I38" s="34">
        <v>92.06</v>
      </c>
      <c r="J38" s="34">
        <v>90.29</v>
      </c>
      <c r="K38" s="34">
        <v>106.54</v>
      </c>
      <c r="L38" s="34">
        <v>105.97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15">
      <c r="A39" s="22" t="str">
        <f t="shared" si="0"/>
        <v>2Cultura</v>
      </c>
      <c r="B39" s="22">
        <v>2</v>
      </c>
      <c r="C39" s="22">
        <v>0</v>
      </c>
      <c r="D39" s="22" t="str">
        <f t="shared" si="1"/>
        <v>02</v>
      </c>
      <c r="E39" s="22">
        <v>36</v>
      </c>
      <c r="F39" s="33" t="s">
        <v>35</v>
      </c>
      <c r="G39" s="30" t="str">
        <f>HLOOKUP(mes_ano!$A$1,$H$4:$Q$176,E39,0)</f>
        <v>-</v>
      </c>
      <c r="H39" s="22" t="s">
        <v>54</v>
      </c>
      <c r="I39" s="35" t="s">
        <v>54</v>
      </c>
      <c r="J39" s="35" t="s">
        <v>54</v>
      </c>
      <c r="K39" s="35" t="s">
        <v>54</v>
      </c>
      <c r="L39" s="35" t="s">
        <v>54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15">
      <c r="A40" s="22" t="str">
        <f t="shared" si="0"/>
        <v>2Seguro do capital</v>
      </c>
      <c r="B40" s="22">
        <v>2</v>
      </c>
      <c r="C40" s="22">
        <v>0</v>
      </c>
      <c r="D40" s="22" t="str">
        <f t="shared" si="1"/>
        <v>02</v>
      </c>
      <c r="E40" s="22">
        <v>37</v>
      </c>
      <c r="F40" s="33" t="s">
        <v>36</v>
      </c>
      <c r="G40" s="30">
        <f>HLOOKUP(mes_ano!$A$1,$H$4:$Q$176,E40,0)</f>
        <v>197.08</v>
      </c>
      <c r="H40" s="22">
        <v>125.25</v>
      </c>
      <c r="I40" s="34">
        <v>136.41</v>
      </c>
      <c r="J40" s="34">
        <v>145.94</v>
      </c>
      <c r="K40" s="34">
        <v>167.17</v>
      </c>
      <c r="L40" s="34">
        <v>197.08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15">
      <c r="A41" s="22" t="str">
        <f t="shared" si="0"/>
        <v>2Mão-de-obra permanente</v>
      </c>
      <c r="B41" s="22">
        <v>2</v>
      </c>
      <c r="C41" s="22">
        <v>0</v>
      </c>
      <c r="D41" s="22" t="str">
        <f t="shared" si="1"/>
        <v>02</v>
      </c>
      <c r="E41" s="22">
        <v>38</v>
      </c>
      <c r="F41" s="29" t="s">
        <v>37</v>
      </c>
      <c r="G41" s="30">
        <f>HLOOKUP(mes_ano!$A$1,$H$4:$Q$176,E41,0)</f>
        <v>250.26</v>
      </c>
      <c r="H41" s="22">
        <v>189.53</v>
      </c>
      <c r="I41" s="34">
        <v>196.55</v>
      </c>
      <c r="J41" s="34">
        <v>209.83</v>
      </c>
      <c r="K41" s="34">
        <v>203.5</v>
      </c>
      <c r="L41" s="34">
        <v>250.26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15">
      <c r="A42" s="22" t="str">
        <f t="shared" si="0"/>
        <v>2Remuneração do Capital próprio</v>
      </c>
      <c r="B42" s="22">
        <v>2</v>
      </c>
      <c r="C42" s="22">
        <v>0</v>
      </c>
      <c r="D42" s="22" t="str">
        <f t="shared" si="1"/>
        <v>02</v>
      </c>
      <c r="E42" s="22">
        <v>39</v>
      </c>
      <c r="F42" s="33" t="s">
        <v>39</v>
      </c>
      <c r="G42" s="30">
        <f>HLOOKUP(mes_ano!$A$1,$H$4:$Q$176,E42,0)</f>
        <v>196.73</v>
      </c>
      <c r="H42" s="22">
        <v>155.97</v>
      </c>
      <c r="I42" s="34">
        <v>161.96</v>
      </c>
      <c r="J42" s="34">
        <v>164.25</v>
      </c>
      <c r="K42" s="34">
        <v>174.14</v>
      </c>
      <c r="L42" s="34">
        <v>196.73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5">
      <c r="A43" s="22" t="str">
        <f t="shared" si="0"/>
        <v>2Remuneração da terra</v>
      </c>
      <c r="B43" s="22">
        <v>2</v>
      </c>
      <c r="C43" s="22">
        <v>0</v>
      </c>
      <c r="D43" s="22" t="str">
        <f t="shared" si="1"/>
        <v>02</v>
      </c>
      <c r="E43" s="22">
        <v>40</v>
      </c>
      <c r="F43" s="33" t="s">
        <v>40</v>
      </c>
      <c r="G43" s="30">
        <f>HLOOKUP(mes_ano!$A$1,$H$4:$Q$176,E43,0)</f>
        <v>1045.55</v>
      </c>
      <c r="H43" s="22">
        <v>691.08</v>
      </c>
      <c r="I43" s="34">
        <v>711.13</v>
      </c>
      <c r="J43" s="34">
        <v>750.23</v>
      </c>
      <c r="K43" s="34">
        <v>1068.23</v>
      </c>
      <c r="L43" s="34">
        <v>1045.55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ht="15">
      <c r="A44" s="22" t="str">
        <f t="shared" si="0"/>
        <v>3Operação de máquinas e implementos</v>
      </c>
      <c r="B44" s="22">
        <v>3</v>
      </c>
      <c r="C44" s="22">
        <v>1000</v>
      </c>
      <c r="D44" s="22" t="str">
        <f t="shared" si="1"/>
        <v>10003</v>
      </c>
      <c r="E44" s="22">
        <v>41</v>
      </c>
      <c r="F44" s="29" t="s">
        <v>10</v>
      </c>
      <c r="G44" s="30">
        <f>HLOOKUP(mes_ano!$A$1,$H$4:$Q$176,E44,0)</f>
        <v>175.68</v>
      </c>
      <c r="H44" s="22">
        <v>124.32</v>
      </c>
      <c r="I44" s="34">
        <v>128.78</v>
      </c>
      <c r="J44" s="34">
        <v>141.88</v>
      </c>
      <c r="K44" s="34">
        <v>165.89</v>
      </c>
      <c r="L44" s="34">
        <v>175.68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15">
      <c r="A45" s="22" t="str">
        <f t="shared" si="0"/>
        <v>3Despesas de manutenção de benfeitorias</v>
      </c>
      <c r="B45" s="22">
        <v>3</v>
      </c>
      <c r="C45" s="22">
        <v>1000</v>
      </c>
      <c r="D45" s="22" t="str">
        <f t="shared" si="1"/>
        <v>10003</v>
      </c>
      <c r="E45" s="22">
        <v>42</v>
      </c>
      <c r="F45" s="33" t="s">
        <v>12</v>
      </c>
      <c r="G45" s="30">
        <f>HLOOKUP(mes_ano!$A$1,$H$4:$Q$176,E45,0)</f>
        <v>48.96</v>
      </c>
      <c r="H45" s="22">
        <v>43.42</v>
      </c>
      <c r="I45" s="35">
        <v>44.07</v>
      </c>
      <c r="J45" s="35">
        <v>43.62</v>
      </c>
      <c r="K45" s="35">
        <v>45.13</v>
      </c>
      <c r="L45" s="35">
        <v>48.96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15">
      <c r="A46" s="22" t="str">
        <f t="shared" si="0"/>
        <v>3Mão-de-obra temporária</v>
      </c>
      <c r="B46" s="22">
        <v>3</v>
      </c>
      <c r="C46" s="22">
        <v>1000</v>
      </c>
      <c r="D46" s="22" t="str">
        <f t="shared" si="1"/>
        <v>10003</v>
      </c>
      <c r="E46" s="22">
        <v>43</v>
      </c>
      <c r="F46" s="33" t="s">
        <v>14</v>
      </c>
      <c r="G46" s="30">
        <f>HLOOKUP(mes_ano!$A$1,$H$4:$Q$176,E46,0)</f>
        <v>46.16</v>
      </c>
      <c r="H46" s="22">
        <v>42.57</v>
      </c>
      <c r="I46" s="35">
        <v>42.57</v>
      </c>
      <c r="J46" s="35">
        <v>42.71</v>
      </c>
      <c r="K46" s="35">
        <v>43.26</v>
      </c>
      <c r="L46" s="35">
        <v>46.16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15">
      <c r="A47" s="22" t="str">
        <f t="shared" si="0"/>
        <v>3Sementes/Manivas</v>
      </c>
      <c r="B47" s="22">
        <v>3</v>
      </c>
      <c r="C47" s="22">
        <v>1000</v>
      </c>
      <c r="D47" s="22" t="str">
        <f t="shared" si="1"/>
        <v>10003</v>
      </c>
      <c r="E47" s="22">
        <v>44</v>
      </c>
      <c r="F47" s="33" t="s">
        <v>16</v>
      </c>
      <c r="G47" s="30">
        <f>HLOOKUP(mes_ano!$A$1,$H$4:$Q$176,E47,0)</f>
        <v>905.6</v>
      </c>
      <c r="H47" s="22">
        <v>573.6</v>
      </c>
      <c r="I47" s="36">
        <v>665.6</v>
      </c>
      <c r="J47" s="36">
        <v>713.6</v>
      </c>
      <c r="K47" s="36">
        <v>768.8</v>
      </c>
      <c r="L47" s="36">
        <v>905.6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15">
      <c r="A48" s="22" t="str">
        <f t="shared" si="0"/>
        <v>3Fertilizantes</v>
      </c>
      <c r="B48" s="22">
        <v>3</v>
      </c>
      <c r="C48" s="22">
        <v>1000</v>
      </c>
      <c r="D48" s="22" t="str">
        <f t="shared" si="1"/>
        <v>10003</v>
      </c>
      <c r="E48" s="22">
        <v>45</v>
      </c>
      <c r="F48" s="33" t="s">
        <v>18</v>
      </c>
      <c r="G48" s="30">
        <f>HLOOKUP(mes_ano!$A$1,$H$4:$Q$176,E48,0)</f>
        <v>1444</v>
      </c>
      <c r="H48" s="22">
        <v>782</v>
      </c>
      <c r="I48" s="36">
        <v>840</v>
      </c>
      <c r="J48" s="36">
        <v>981</v>
      </c>
      <c r="K48" s="36">
        <v>1153</v>
      </c>
      <c r="L48" s="36">
        <v>1444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5">
      <c r="A49" s="22" t="str">
        <f t="shared" si="0"/>
        <v>3Agrotóxicos</v>
      </c>
      <c r="B49" s="22">
        <v>3</v>
      </c>
      <c r="C49" s="22">
        <v>1000</v>
      </c>
      <c r="D49" s="22" t="str">
        <f t="shared" si="1"/>
        <v>10003</v>
      </c>
      <c r="E49" s="22">
        <v>46</v>
      </c>
      <c r="F49" s="33" t="s">
        <v>20</v>
      </c>
      <c r="G49" s="30">
        <f>HLOOKUP(mes_ano!$A$1,$H$4:$Q$176,E49,0)</f>
        <v>1037.63</v>
      </c>
      <c r="H49" s="22">
        <v>876.56</v>
      </c>
      <c r="I49" s="36">
        <v>882.91</v>
      </c>
      <c r="J49" s="36">
        <v>926.76</v>
      </c>
      <c r="K49" s="36">
        <v>970.51</v>
      </c>
      <c r="L49" s="36">
        <v>1037.63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ht="15">
      <c r="A50" s="22" t="str">
        <f t="shared" si="0"/>
        <v>3Despesas gerais</v>
      </c>
      <c r="B50" s="22">
        <v>3</v>
      </c>
      <c r="C50" s="22">
        <v>1000</v>
      </c>
      <c r="D50" s="22" t="str">
        <f t="shared" si="1"/>
        <v>10003</v>
      </c>
      <c r="E50" s="22">
        <v>47</v>
      </c>
      <c r="F50" s="33" t="s">
        <v>22</v>
      </c>
      <c r="G50" s="30">
        <f>HLOOKUP(mes_ano!$A$1,$H$4:$Q$176,E50,0)</f>
        <v>73.61</v>
      </c>
      <c r="H50" s="22">
        <v>49.14</v>
      </c>
      <c r="I50" s="36">
        <v>52.41</v>
      </c>
      <c r="J50" s="36">
        <v>57.35</v>
      </c>
      <c r="K50" s="36">
        <v>63.32</v>
      </c>
      <c r="L50" s="36">
        <v>73.61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15">
      <c r="A51" s="22" t="str">
        <f t="shared" si="0"/>
        <v>3Transporte externo</v>
      </c>
      <c r="B51" s="22">
        <v>3</v>
      </c>
      <c r="C51" s="22">
        <v>1000</v>
      </c>
      <c r="D51" s="22" t="str">
        <f t="shared" si="1"/>
        <v>10003</v>
      </c>
      <c r="E51" s="22">
        <v>48</v>
      </c>
      <c r="F51" s="29" t="s">
        <v>24</v>
      </c>
      <c r="G51" s="30">
        <f>HLOOKUP(mes_ano!$A$1,$H$4:$Q$176,E51,0)</f>
        <v>97.24</v>
      </c>
      <c r="H51" s="22">
        <v>74.12</v>
      </c>
      <c r="I51" s="36">
        <v>75.82</v>
      </c>
      <c r="J51" s="36">
        <v>71.74</v>
      </c>
      <c r="K51" s="36">
        <v>75.48</v>
      </c>
      <c r="L51" s="36">
        <v>97.24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ht="15">
      <c r="A52" s="22" t="str">
        <f t="shared" si="0"/>
        <v>3Assistência técnica</v>
      </c>
      <c r="B52" s="22">
        <v>3</v>
      </c>
      <c r="C52" s="22">
        <v>1000</v>
      </c>
      <c r="D52" s="22" t="str">
        <f t="shared" si="1"/>
        <v>10003</v>
      </c>
      <c r="E52" s="22">
        <v>49</v>
      </c>
      <c r="F52" s="33" t="s">
        <v>26</v>
      </c>
      <c r="G52" s="30">
        <f>HLOOKUP(mes_ano!$A$1,$H$4:$Q$176,E52,0)</f>
        <v>75.09</v>
      </c>
      <c r="H52" s="22">
        <v>50.12</v>
      </c>
      <c r="I52" s="36">
        <v>53.46</v>
      </c>
      <c r="J52" s="36">
        <v>58.5</v>
      </c>
      <c r="K52" s="36">
        <v>64.58</v>
      </c>
      <c r="L52" s="36">
        <v>75.09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ht="15">
      <c r="A53" s="22" t="str">
        <f t="shared" si="0"/>
        <v>3PROAGRO/SEGURO</v>
      </c>
      <c r="B53" s="22">
        <v>3</v>
      </c>
      <c r="C53" s="22">
        <v>1000</v>
      </c>
      <c r="D53" s="22" t="str">
        <f t="shared" si="1"/>
        <v>10003</v>
      </c>
      <c r="E53" s="22">
        <v>50</v>
      </c>
      <c r="F53" s="33" t="s">
        <v>28</v>
      </c>
      <c r="G53" s="30">
        <f>HLOOKUP(mes_ano!$A$1,$H$4:$Q$176,E53,0)</f>
        <v>106.89</v>
      </c>
      <c r="H53" s="22">
        <v>70.69</v>
      </c>
      <c r="I53" s="36">
        <v>75.52</v>
      </c>
      <c r="J53" s="36">
        <v>82.9</v>
      </c>
      <c r="K53" s="36">
        <v>91.75</v>
      </c>
      <c r="L53" s="36">
        <v>106.89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ht="15">
      <c r="A54" s="22" t="str">
        <f t="shared" si="0"/>
        <v>3Juros</v>
      </c>
      <c r="B54" s="22">
        <v>3</v>
      </c>
      <c r="C54" s="22">
        <v>1000</v>
      </c>
      <c r="D54" s="22" t="str">
        <f t="shared" si="1"/>
        <v>10003</v>
      </c>
      <c r="E54" s="22">
        <v>51</v>
      </c>
      <c r="F54" s="33" t="s">
        <v>30</v>
      </c>
      <c r="G54" s="30">
        <f>HLOOKUP(mes_ano!$A$1,$H$4:$Q$176,E54,0)</f>
        <v>130.56</v>
      </c>
      <c r="H54" s="22">
        <v>85.1</v>
      </c>
      <c r="I54" s="36">
        <v>90.92</v>
      </c>
      <c r="J54" s="36">
        <v>100.02</v>
      </c>
      <c r="K54" s="36">
        <v>111.04</v>
      </c>
      <c r="L54" s="36">
        <v>130.56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15">
      <c r="A55" s="22" t="str">
        <f t="shared" si="0"/>
        <v>3Depreciação de máquinas e implementos</v>
      </c>
      <c r="B55" s="22">
        <v>3</v>
      </c>
      <c r="C55" s="22">
        <v>0</v>
      </c>
      <c r="D55" s="22" t="str">
        <f t="shared" si="1"/>
        <v>03</v>
      </c>
      <c r="E55" s="22">
        <v>52</v>
      </c>
      <c r="F55" s="33" t="s">
        <v>32</v>
      </c>
      <c r="G55" s="30">
        <f>HLOOKUP(mes_ano!$A$1,$H$4:$Q$176,E55,0)</f>
        <v>191.58</v>
      </c>
      <c r="H55" s="22">
        <v>115.11</v>
      </c>
      <c r="I55" s="36">
        <v>127.41</v>
      </c>
      <c r="J55" s="36">
        <v>138.22</v>
      </c>
      <c r="K55" s="36">
        <v>161.45</v>
      </c>
      <c r="L55" s="36">
        <v>191.58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15">
      <c r="A56" s="22" t="str">
        <f t="shared" si="0"/>
        <v>3Depreciação de benfeitorias e instalações</v>
      </c>
      <c r="B56" s="22">
        <v>3</v>
      </c>
      <c r="C56" s="22">
        <v>0</v>
      </c>
      <c r="D56" s="22" t="str">
        <f t="shared" si="1"/>
        <v>03</v>
      </c>
      <c r="E56" s="22">
        <v>53</v>
      </c>
      <c r="F56" s="33" t="s">
        <v>33</v>
      </c>
      <c r="G56" s="30">
        <f>HLOOKUP(mes_ano!$A$1,$H$4:$Q$176,E56,0)</f>
        <v>44.3</v>
      </c>
      <c r="H56" s="22">
        <v>40.41</v>
      </c>
      <c r="I56" s="36">
        <v>40.41</v>
      </c>
      <c r="J56" s="36">
        <v>40.13</v>
      </c>
      <c r="K56" s="36">
        <v>40.52</v>
      </c>
      <c r="L56" s="36">
        <v>44.3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ht="15">
      <c r="A57" s="22" t="str">
        <f t="shared" si="0"/>
        <v>3Sistematização e correção do solo</v>
      </c>
      <c r="B57" s="22">
        <v>3</v>
      </c>
      <c r="C57" s="22">
        <v>0</v>
      </c>
      <c r="D57" s="22" t="str">
        <f t="shared" si="1"/>
        <v>03</v>
      </c>
      <c r="E57" s="22">
        <v>54</v>
      </c>
      <c r="F57" s="33" t="s">
        <v>34</v>
      </c>
      <c r="G57" s="30">
        <f>HLOOKUP(mes_ano!$A$1,$H$4:$Q$176,E57,0)</f>
        <v>105.97</v>
      </c>
      <c r="H57" s="22">
        <v>83.72</v>
      </c>
      <c r="I57" s="36">
        <v>92.06</v>
      </c>
      <c r="J57" s="36">
        <v>90.29</v>
      </c>
      <c r="K57" s="36">
        <v>106.54</v>
      </c>
      <c r="L57" s="36">
        <v>105.97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5">
      <c r="A58" s="22" t="str">
        <f t="shared" si="0"/>
        <v>3Cultura</v>
      </c>
      <c r="B58" s="22">
        <v>3</v>
      </c>
      <c r="C58" s="22">
        <v>0</v>
      </c>
      <c r="D58" s="22" t="str">
        <f t="shared" si="1"/>
        <v>03</v>
      </c>
      <c r="E58" s="22">
        <v>55</v>
      </c>
      <c r="F58" s="33" t="s">
        <v>35</v>
      </c>
      <c r="G58" s="30" t="str">
        <f>HLOOKUP(mes_ano!$A$1,$H$4:$Q$176,E58,0)</f>
        <v>-</v>
      </c>
      <c r="H58" s="22" t="s">
        <v>54</v>
      </c>
      <c r="I58" s="36" t="s">
        <v>54</v>
      </c>
      <c r="J58" s="36" t="s">
        <v>54</v>
      </c>
      <c r="K58" s="36" t="s">
        <v>54</v>
      </c>
      <c r="L58" s="36" t="s">
        <v>54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ht="15">
      <c r="A59" s="22" t="str">
        <f t="shared" si="0"/>
        <v>3Seguro do capital</v>
      </c>
      <c r="B59" s="22">
        <v>3</v>
      </c>
      <c r="C59" s="22">
        <v>0</v>
      </c>
      <c r="D59" s="22" t="str">
        <f t="shared" si="1"/>
        <v>03</v>
      </c>
      <c r="E59" s="22">
        <v>56</v>
      </c>
      <c r="F59" s="33" t="s">
        <v>36</v>
      </c>
      <c r="G59" s="30">
        <f>HLOOKUP(mes_ano!$A$1,$H$4:$Q$176,E59,0)</f>
        <v>17.99</v>
      </c>
      <c r="H59" s="22">
        <v>14.39</v>
      </c>
      <c r="I59" s="36">
        <v>14.76</v>
      </c>
      <c r="J59" s="36">
        <v>15.1</v>
      </c>
      <c r="K59" s="36">
        <v>16</v>
      </c>
      <c r="L59" s="36">
        <v>17.99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5">
      <c r="A60" s="22" t="str">
        <f t="shared" si="0"/>
        <v>3Mão-de-obra permanente</v>
      </c>
      <c r="B60" s="22">
        <v>3</v>
      </c>
      <c r="C60" s="22">
        <v>0</v>
      </c>
      <c r="D60" s="22" t="str">
        <f t="shared" si="1"/>
        <v>03</v>
      </c>
      <c r="E60" s="22">
        <v>57</v>
      </c>
      <c r="F60" s="29" t="s">
        <v>37</v>
      </c>
      <c r="G60" s="30">
        <f>HLOOKUP(mes_ano!$A$1,$H$4:$Q$176,E60,0)</f>
        <v>290.27</v>
      </c>
      <c r="H60" s="22">
        <v>206.67</v>
      </c>
      <c r="I60" s="36">
        <v>216.61</v>
      </c>
      <c r="J60" s="36">
        <v>234.1</v>
      </c>
      <c r="K60" s="36">
        <v>254.35</v>
      </c>
      <c r="L60" s="36">
        <v>290.27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15">
      <c r="A61" s="22" t="str">
        <f t="shared" si="0"/>
        <v>3Remuneração do Capital próprio</v>
      </c>
      <c r="B61" s="22">
        <v>3</v>
      </c>
      <c r="C61" s="22">
        <v>0</v>
      </c>
      <c r="D61" s="22" t="str">
        <f t="shared" si="1"/>
        <v>03</v>
      </c>
      <c r="E61" s="22">
        <v>58</v>
      </c>
      <c r="F61" s="33" t="s">
        <v>39</v>
      </c>
      <c r="G61" s="30">
        <f>HLOOKUP(mes_ano!$A$1,$H$4:$Q$176,E61,0)</f>
        <v>140.76</v>
      </c>
      <c r="H61" s="22">
        <v>103.91</v>
      </c>
      <c r="I61" s="36">
        <v>108.49</v>
      </c>
      <c r="J61" s="36">
        <v>113.23</v>
      </c>
      <c r="K61" s="36">
        <v>123.19</v>
      </c>
      <c r="L61" s="36">
        <v>140.76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5">
      <c r="A62" s="22" t="str">
        <f t="shared" si="0"/>
        <v>3Remuneração da terra</v>
      </c>
      <c r="B62" s="22">
        <v>3</v>
      </c>
      <c r="C62" s="22">
        <v>0</v>
      </c>
      <c r="D62" s="22" t="str">
        <f t="shared" si="1"/>
        <v>03</v>
      </c>
      <c r="E62" s="22">
        <v>59</v>
      </c>
      <c r="F62" s="33" t="s">
        <v>40</v>
      </c>
      <c r="G62" s="30">
        <f>HLOOKUP(mes_ano!$A$1,$H$4:$Q$176,E62,0)</f>
        <v>1045.55</v>
      </c>
      <c r="H62" s="22">
        <v>691.08</v>
      </c>
      <c r="I62" s="35">
        <v>711.13</v>
      </c>
      <c r="J62" s="35">
        <v>750.23</v>
      </c>
      <c r="K62" s="35">
        <v>1068.23</v>
      </c>
      <c r="L62" s="35">
        <v>1045.55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ht="15">
      <c r="A63" s="22" t="str">
        <f t="shared" si="0"/>
        <v>4Operação de máquinas e implementos</v>
      </c>
      <c r="B63" s="22">
        <v>4</v>
      </c>
      <c r="C63" s="22">
        <v>1000</v>
      </c>
      <c r="D63" s="22" t="str">
        <f t="shared" si="1"/>
        <v>10004</v>
      </c>
      <c r="E63" s="22">
        <v>60</v>
      </c>
      <c r="F63" s="29" t="s">
        <v>10</v>
      </c>
      <c r="G63" s="30">
        <f>HLOOKUP(mes_ano!$A$1,$H$4:$Q$176,E63,0)</f>
        <v>609.04</v>
      </c>
      <c r="H63" s="22">
        <v>424.35</v>
      </c>
      <c r="I63" s="31">
        <v>445.56</v>
      </c>
      <c r="J63" s="31">
        <v>490.99</v>
      </c>
      <c r="K63" s="31">
        <v>574.19</v>
      </c>
      <c r="L63" s="31">
        <v>609.04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ht="15">
      <c r="A64" s="22" t="str">
        <f t="shared" si="0"/>
        <v>4Despesas de manutenção de benfeitorias</v>
      </c>
      <c r="B64" s="22">
        <v>4</v>
      </c>
      <c r="C64" s="22">
        <v>1000</v>
      </c>
      <c r="D64" s="22" t="str">
        <f t="shared" si="1"/>
        <v>10004</v>
      </c>
      <c r="E64" s="22">
        <v>61</v>
      </c>
      <c r="F64" s="33" t="s">
        <v>12</v>
      </c>
      <c r="G64" s="30">
        <f>HLOOKUP(mes_ano!$A$1,$H$4:$Q$176,E64,0)</f>
        <v>67.47</v>
      </c>
      <c r="H64" s="22">
        <v>59.45</v>
      </c>
      <c r="I64" s="31">
        <v>59.45</v>
      </c>
      <c r="J64" s="31">
        <v>59.4</v>
      </c>
      <c r="K64" s="31">
        <v>61.23</v>
      </c>
      <c r="L64" s="31">
        <v>67.47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ht="15">
      <c r="A65" s="22" t="str">
        <f t="shared" si="0"/>
        <v>4Mão-de-obra temporária</v>
      </c>
      <c r="B65" s="22">
        <v>4</v>
      </c>
      <c r="C65" s="22">
        <v>1000</v>
      </c>
      <c r="D65" s="22" t="str">
        <f t="shared" si="1"/>
        <v>10004</v>
      </c>
      <c r="E65" s="22">
        <v>62</v>
      </c>
      <c r="F65" s="33" t="s">
        <v>14</v>
      </c>
      <c r="G65" s="30">
        <f>HLOOKUP(mes_ano!$A$1,$H$4:$Q$176,E65,0)</f>
        <v>3159.82</v>
      </c>
      <c r="H65" s="22">
        <v>2890.69</v>
      </c>
      <c r="I65" s="31">
        <v>2890.59</v>
      </c>
      <c r="J65" s="31">
        <v>2920.67</v>
      </c>
      <c r="K65" s="31">
        <v>2981.86</v>
      </c>
      <c r="L65" s="31">
        <v>3159.82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5">
      <c r="A66" s="22" t="str">
        <f t="shared" si="0"/>
        <v>4Sementes/Manivas</v>
      </c>
      <c r="B66" s="22">
        <v>4</v>
      </c>
      <c r="C66" s="22">
        <v>1000</v>
      </c>
      <c r="D66" s="22" t="str">
        <f t="shared" si="1"/>
        <v>10004</v>
      </c>
      <c r="E66" s="22">
        <v>63</v>
      </c>
      <c r="F66" s="33" t="s">
        <v>16</v>
      </c>
      <c r="G66" s="30">
        <f>HLOOKUP(mes_ano!$A$1,$H$4:$Q$176,E66,0)</f>
        <v>322.31</v>
      </c>
      <c r="H66" s="22">
        <v>285.12</v>
      </c>
      <c r="I66" s="31">
        <v>285.12</v>
      </c>
      <c r="J66" s="31">
        <v>285.12</v>
      </c>
      <c r="K66" s="31">
        <v>285.12</v>
      </c>
      <c r="L66" s="31">
        <v>322.31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5">
      <c r="A67" s="22" t="str">
        <f t="shared" si="0"/>
        <v>4Fertilizantes</v>
      </c>
      <c r="B67" s="22">
        <v>4</v>
      </c>
      <c r="C67" s="22">
        <v>1000</v>
      </c>
      <c r="D67" s="22" t="str">
        <f t="shared" si="1"/>
        <v>10004</v>
      </c>
      <c r="E67" s="22">
        <v>64</v>
      </c>
      <c r="F67" s="33" t="s">
        <v>18</v>
      </c>
      <c r="G67" s="30">
        <f>HLOOKUP(mes_ano!$A$1,$H$4:$Q$176,E67,0)</f>
        <v>765.29</v>
      </c>
      <c r="H67" s="22">
        <v>407.02</v>
      </c>
      <c r="I67" s="31">
        <v>440.91</v>
      </c>
      <c r="J67" s="31">
        <v>485.95</v>
      </c>
      <c r="K67" s="31">
        <v>583.06</v>
      </c>
      <c r="L67" s="31">
        <v>765.29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5">
      <c r="A68" s="22" t="str">
        <f t="shared" si="0"/>
        <v>4Agrotóxicos</v>
      </c>
      <c r="B68" s="22">
        <v>4</v>
      </c>
      <c r="C68" s="22">
        <v>1000</v>
      </c>
      <c r="D68" s="22" t="str">
        <f t="shared" si="1"/>
        <v>10004</v>
      </c>
      <c r="E68" s="22">
        <v>65</v>
      </c>
      <c r="F68" s="33" t="s">
        <v>20</v>
      </c>
      <c r="G68" s="30">
        <f>HLOOKUP(mes_ano!$A$1,$H$4:$Q$176,E68,0)</f>
        <v>335.71</v>
      </c>
      <c r="H68" s="22">
        <v>306.1</v>
      </c>
      <c r="I68" s="31">
        <v>320.03</v>
      </c>
      <c r="J68" s="31">
        <v>308.67</v>
      </c>
      <c r="K68" s="31">
        <v>291.5</v>
      </c>
      <c r="L68" s="31">
        <v>335.71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15">
      <c r="A69" s="22" t="str">
        <f t="shared" si="0"/>
        <v>4Despesas gerais</v>
      </c>
      <c r="B69" s="22">
        <v>4</v>
      </c>
      <c r="C69" s="22">
        <v>1000</v>
      </c>
      <c r="D69" s="22" t="str">
        <f t="shared" si="1"/>
        <v>10004</v>
      </c>
      <c r="E69" s="22">
        <v>66</v>
      </c>
      <c r="F69" s="33" t="s">
        <v>22</v>
      </c>
      <c r="G69" s="30">
        <f>HLOOKUP(mes_ano!$A$1,$H$4:$Q$176,E69,0)</f>
        <v>108.95</v>
      </c>
      <c r="H69" s="22">
        <v>90.93</v>
      </c>
      <c r="I69" s="31">
        <v>92.26</v>
      </c>
      <c r="J69" s="31">
        <v>94.53</v>
      </c>
      <c r="K69" s="31">
        <v>99.26</v>
      </c>
      <c r="L69" s="31">
        <v>108.95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ht="15">
      <c r="A70" s="22" t="str">
        <f t="shared" si="0"/>
        <v>4Transporte externo</v>
      </c>
      <c r="B70" s="22">
        <v>4</v>
      </c>
      <c r="C70" s="22">
        <v>1000</v>
      </c>
      <c r="D70" s="22" t="str">
        <f t="shared" si="1"/>
        <v>10004</v>
      </c>
      <c r="E70" s="22">
        <v>67</v>
      </c>
      <c r="F70" s="29" t="s">
        <v>24</v>
      </c>
      <c r="G70" s="30">
        <f>HLOOKUP(mes_ano!$A$1,$H$4:$Q$176,E70,0)</f>
        <v>880</v>
      </c>
      <c r="H70" s="22">
        <v>682</v>
      </c>
      <c r="I70" s="31">
        <v>682</v>
      </c>
      <c r="J70" s="31">
        <v>704</v>
      </c>
      <c r="K70" s="31">
        <v>770</v>
      </c>
      <c r="L70" s="31">
        <v>880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t="15">
      <c r="A71" s="22" t="str">
        <f t="shared" si="0"/>
        <v>4Assistência técnica</v>
      </c>
      <c r="B71" s="22">
        <v>4</v>
      </c>
      <c r="C71" s="22">
        <v>1000</v>
      </c>
      <c r="D71" s="22" t="str">
        <f t="shared" si="1"/>
        <v>10004</v>
      </c>
      <c r="E71" s="22">
        <v>68</v>
      </c>
      <c r="F71" s="33" t="s">
        <v>26</v>
      </c>
      <c r="G71" s="30">
        <f>HLOOKUP(mes_ano!$A$1,$H$4:$Q$176,E71,0)</f>
        <v>111.12</v>
      </c>
      <c r="H71" s="22">
        <v>92.74</v>
      </c>
      <c r="I71" s="31">
        <v>94.1</v>
      </c>
      <c r="J71" s="31">
        <v>96.42</v>
      </c>
      <c r="K71" s="31">
        <v>101.24</v>
      </c>
      <c r="L71" s="31">
        <v>111.12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ht="15">
      <c r="A72" s="22" t="str">
        <f t="shared" si="0"/>
        <v>4PROAGRO/SEGURO</v>
      </c>
      <c r="B72" s="22">
        <v>4</v>
      </c>
      <c r="C72" s="22">
        <v>1000</v>
      </c>
      <c r="D72" s="22" t="str">
        <f t="shared" si="1"/>
        <v>10004</v>
      </c>
      <c r="E72" s="22">
        <v>69</v>
      </c>
      <c r="F72" s="33" t="s">
        <v>28</v>
      </c>
      <c r="G72" s="30" t="str">
        <f>HLOOKUP(mes_ano!$A$1,$H$4:$Q$176,E72,0)</f>
        <v>-</v>
      </c>
      <c r="H72" s="22" t="s">
        <v>54</v>
      </c>
      <c r="I72" s="31" t="s">
        <v>75</v>
      </c>
      <c r="J72" s="31" t="s">
        <v>54</v>
      </c>
      <c r="K72" s="31" t="s">
        <v>54</v>
      </c>
      <c r="L72" s="31" t="s">
        <v>54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ht="15">
      <c r="A73" s="22" t="str">
        <f t="shared" si="0"/>
        <v>4Juros</v>
      </c>
      <c r="B73" s="22">
        <v>4</v>
      </c>
      <c r="C73" s="22">
        <v>1000</v>
      </c>
      <c r="D73" s="22" t="str">
        <f t="shared" si="1"/>
        <v>10004</v>
      </c>
      <c r="E73" s="22">
        <v>70</v>
      </c>
      <c r="F73" s="33" t="s">
        <v>30</v>
      </c>
      <c r="G73" s="30">
        <f>HLOOKUP(mes_ano!$A$1,$H$4:$Q$176,E73,0)</f>
        <v>138.56</v>
      </c>
      <c r="H73" s="22">
        <v>107.36</v>
      </c>
      <c r="I73" s="31">
        <v>110.39</v>
      </c>
      <c r="J73" s="31">
        <v>114.05</v>
      </c>
      <c r="K73" s="31">
        <v>122.04</v>
      </c>
      <c r="L73" s="31">
        <v>138.56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ht="15">
      <c r="A74" s="22" t="str">
        <f t="shared" si="0"/>
        <v>4Depreciação de máquinas e implementos</v>
      </c>
      <c r="B74" s="22">
        <v>4</v>
      </c>
      <c r="C74" s="22">
        <v>0</v>
      </c>
      <c r="D74" s="22" t="str">
        <f t="shared" si="1"/>
        <v>04</v>
      </c>
      <c r="E74" s="22">
        <v>71</v>
      </c>
      <c r="F74" s="33" t="s">
        <v>32</v>
      </c>
      <c r="G74" s="30">
        <f>HLOOKUP(mes_ano!$A$1,$H$4:$Q$176,E74,0)</f>
        <v>382.29</v>
      </c>
      <c r="H74" s="22">
        <v>236.59</v>
      </c>
      <c r="I74" s="31">
        <v>259.8</v>
      </c>
      <c r="J74" s="31">
        <v>289.39</v>
      </c>
      <c r="K74" s="31">
        <v>338.38</v>
      </c>
      <c r="L74" s="31">
        <v>382.29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ht="15">
      <c r="A75" s="22" t="str">
        <f t="shared" si="0"/>
        <v>4Depreciação de benfeitorias e instalações</v>
      </c>
      <c r="B75" s="22">
        <v>4</v>
      </c>
      <c r="C75" s="22">
        <v>0</v>
      </c>
      <c r="D75" s="22" t="str">
        <f t="shared" si="1"/>
        <v>04</v>
      </c>
      <c r="E75" s="22">
        <v>72</v>
      </c>
      <c r="F75" s="33" t="s">
        <v>33</v>
      </c>
      <c r="G75" s="30">
        <f>HLOOKUP(mes_ano!$A$1,$H$4:$Q$176,E75,0)</f>
        <v>36.06</v>
      </c>
      <c r="H75" s="22">
        <v>32.01</v>
      </c>
      <c r="I75" s="31">
        <v>32.83</v>
      </c>
      <c r="J75" s="31">
        <v>31.87</v>
      </c>
      <c r="K75" s="31">
        <v>32.31</v>
      </c>
      <c r="L75" s="31">
        <v>36.06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ht="15">
      <c r="A76" s="22" t="str">
        <f t="shared" si="0"/>
        <v>4Sistematização e correção do solo</v>
      </c>
      <c r="B76" s="22">
        <v>4</v>
      </c>
      <c r="C76" s="22">
        <v>0</v>
      </c>
      <c r="D76" s="22" t="str">
        <f t="shared" si="1"/>
        <v>04</v>
      </c>
      <c r="E76" s="22">
        <v>73</v>
      </c>
      <c r="F76" s="33" t="s">
        <v>34</v>
      </c>
      <c r="G76" s="30">
        <f>HLOOKUP(mes_ano!$A$1,$H$4:$Q$176,E76,0)</f>
        <v>601.19</v>
      </c>
      <c r="H76" s="22">
        <v>462.92</v>
      </c>
      <c r="I76" s="31">
        <v>487.47</v>
      </c>
      <c r="J76" s="31">
        <v>505.01</v>
      </c>
      <c r="K76" s="31">
        <v>586.05</v>
      </c>
      <c r="L76" s="31">
        <v>601.19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ht="15">
      <c r="A77" s="22" t="str">
        <f t="shared" si="0"/>
        <v>4Cultura</v>
      </c>
      <c r="B77" s="22">
        <v>4</v>
      </c>
      <c r="C77" s="22">
        <v>0</v>
      </c>
      <c r="D77" s="22" t="str">
        <f t="shared" si="1"/>
        <v>04</v>
      </c>
      <c r="E77" s="22">
        <v>74</v>
      </c>
      <c r="F77" s="33" t="s">
        <v>35</v>
      </c>
      <c r="G77" s="30" t="str">
        <f>HLOOKUP(mes_ano!$A$1,$H$4:$Q$176,E77,0)</f>
        <v>-</v>
      </c>
      <c r="H77" s="22" t="s">
        <v>54</v>
      </c>
      <c r="I77" s="31" t="s">
        <v>75</v>
      </c>
      <c r="J77" s="31" t="s">
        <v>54</v>
      </c>
      <c r="K77" s="31" t="s">
        <v>54</v>
      </c>
      <c r="L77" s="31" t="s">
        <v>54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5">
      <c r="A78" s="22" t="str">
        <f t="shared" si="0"/>
        <v>4Seguro do capital</v>
      </c>
      <c r="B78" s="22">
        <v>4</v>
      </c>
      <c r="C78" s="22">
        <v>0</v>
      </c>
      <c r="D78" s="22" t="str">
        <f t="shared" si="1"/>
        <v>04</v>
      </c>
      <c r="E78" s="22">
        <v>75</v>
      </c>
      <c r="F78" s="33" t="s">
        <v>36</v>
      </c>
      <c r="G78" s="30">
        <f>HLOOKUP(mes_ano!$A$1,$H$4:$Q$176,E78,0)</f>
        <v>25.02</v>
      </c>
      <c r="H78" s="22">
        <v>18.41</v>
      </c>
      <c r="I78" s="31">
        <v>19.4</v>
      </c>
      <c r="J78" s="31">
        <v>20.42</v>
      </c>
      <c r="K78" s="31">
        <v>22.28</v>
      </c>
      <c r="L78" s="31">
        <v>25.02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ht="15">
      <c r="A79" s="22" t="str">
        <f t="shared" si="0"/>
        <v>4Mão-de-obra permanente</v>
      </c>
      <c r="B79" s="22">
        <v>4</v>
      </c>
      <c r="C79" s="22">
        <v>0</v>
      </c>
      <c r="D79" s="22" t="str">
        <f t="shared" si="1"/>
        <v>04</v>
      </c>
      <c r="E79" s="22">
        <v>76</v>
      </c>
      <c r="F79" s="29" t="s">
        <v>37</v>
      </c>
      <c r="G79" s="30">
        <f>HLOOKUP(mes_ano!$A$1,$H$4:$Q$176,E79,0)</f>
        <v>533.21</v>
      </c>
      <c r="H79" s="22">
        <v>460.19</v>
      </c>
      <c r="I79" s="31">
        <v>461.23</v>
      </c>
      <c r="J79" s="31">
        <v>474.19</v>
      </c>
      <c r="K79" s="31">
        <v>494.05</v>
      </c>
      <c r="L79" s="31">
        <v>533.21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ht="15">
      <c r="A80" s="22" t="str">
        <f t="shared" si="0"/>
        <v>4Remuneração do Capital próprio</v>
      </c>
      <c r="B80" s="22">
        <v>4</v>
      </c>
      <c r="C80" s="22">
        <v>0</v>
      </c>
      <c r="D80" s="22" t="str">
        <f t="shared" si="1"/>
        <v>04</v>
      </c>
      <c r="E80" s="22">
        <v>77</v>
      </c>
      <c r="F80" s="33" t="s">
        <v>39</v>
      </c>
      <c r="G80" s="30">
        <f>HLOOKUP(mes_ano!$A$1,$H$4:$Q$176,E80,0)</f>
        <v>252.62</v>
      </c>
      <c r="H80" s="22">
        <v>171.35</v>
      </c>
      <c r="I80" s="31">
        <v>184.18</v>
      </c>
      <c r="J80" s="31">
        <v>199.52</v>
      </c>
      <c r="K80" s="31">
        <v>225.13</v>
      </c>
      <c r="L80" s="31">
        <v>252.62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ht="15">
      <c r="A81" s="22" t="str">
        <f t="shared" si="0"/>
        <v>4Remuneração da terra</v>
      </c>
      <c r="B81" s="22">
        <v>4</v>
      </c>
      <c r="C81" s="22">
        <v>0</v>
      </c>
      <c r="D81" s="22" t="str">
        <f t="shared" si="1"/>
        <v>04</v>
      </c>
      <c r="E81" s="22">
        <v>78</v>
      </c>
      <c r="F81" s="33" t="s">
        <v>40</v>
      </c>
      <c r="G81" s="30">
        <f>HLOOKUP(mes_ano!$A$1,$H$4:$Q$176,E81,0)</f>
        <v>974.56</v>
      </c>
      <c r="H81" s="22">
        <v>643.34</v>
      </c>
      <c r="I81" s="31">
        <v>663.83</v>
      </c>
      <c r="J81" s="31">
        <v>698.72</v>
      </c>
      <c r="K81" s="31">
        <v>996.73</v>
      </c>
      <c r="L81" s="31">
        <v>974.56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15">
      <c r="A82" s="22" t="str">
        <f t="shared" si="0"/>
        <v>5Operação de máquinas e implementos</v>
      </c>
      <c r="B82" s="22">
        <v>5</v>
      </c>
      <c r="C82" s="22">
        <v>1000</v>
      </c>
      <c r="D82" s="22" t="str">
        <f t="shared" si="1"/>
        <v>10005</v>
      </c>
      <c r="E82" s="22">
        <v>79</v>
      </c>
      <c r="F82" s="29" t="s">
        <v>10</v>
      </c>
      <c r="G82" s="30">
        <f>HLOOKUP(mes_ano!$A$1,$H$4:$Q$176,E82,0)</f>
        <v>694.97</v>
      </c>
      <c r="H82" s="22">
        <v>482.22</v>
      </c>
      <c r="I82" s="31">
        <v>506.84</v>
      </c>
      <c r="J82" s="31">
        <v>558.21</v>
      </c>
      <c r="K82" s="31">
        <v>653.46</v>
      </c>
      <c r="L82" s="31">
        <v>694.97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ht="15">
      <c r="A83" s="22" t="str">
        <f t="shared" si="0"/>
        <v>5Despesas de manutenção de benfeitorias</v>
      </c>
      <c r="B83" s="22">
        <v>5</v>
      </c>
      <c r="C83" s="22">
        <v>1000</v>
      </c>
      <c r="D83" s="22" t="str">
        <f t="shared" si="1"/>
        <v>10005</v>
      </c>
      <c r="E83" s="22">
        <v>80</v>
      </c>
      <c r="F83" s="33" t="s">
        <v>12</v>
      </c>
      <c r="G83" s="30">
        <f>HLOOKUP(mes_ano!$A$1,$H$4:$Q$176,E83,0)</f>
        <v>101.21</v>
      </c>
      <c r="H83" s="22">
        <v>89.17</v>
      </c>
      <c r="I83" s="31">
        <v>89.18</v>
      </c>
      <c r="J83" s="31">
        <v>89.1</v>
      </c>
      <c r="K83" s="31">
        <v>91.84</v>
      </c>
      <c r="L83" s="31">
        <v>101.21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ht="15">
      <c r="A84" s="22" t="str">
        <f t="shared" si="0"/>
        <v>5Mão-de-obra temporária</v>
      </c>
      <c r="B84" s="22">
        <v>5</v>
      </c>
      <c r="C84" s="22">
        <v>1000</v>
      </c>
      <c r="D84" s="22" t="str">
        <f t="shared" si="1"/>
        <v>10005</v>
      </c>
      <c r="E84" s="22">
        <v>81</v>
      </c>
      <c r="F84" s="33" t="s">
        <v>14</v>
      </c>
      <c r="G84" s="30">
        <f>HLOOKUP(mes_ano!$A$1,$H$4:$Q$176,E84,0)</f>
        <v>5128.09</v>
      </c>
      <c r="H84" s="22">
        <v>4694.24</v>
      </c>
      <c r="I84" s="31">
        <v>4694.05</v>
      </c>
      <c r="J84" s="31">
        <v>4740.23</v>
      </c>
      <c r="K84" s="31">
        <v>4836.5</v>
      </c>
      <c r="L84" s="31">
        <v>5128.09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ht="15">
      <c r="A85" s="22" t="str">
        <f t="shared" si="0"/>
        <v>5Sementes/Manivas</v>
      </c>
      <c r="B85" s="22">
        <v>5</v>
      </c>
      <c r="C85" s="22">
        <v>1000</v>
      </c>
      <c r="D85" s="22" t="str">
        <f t="shared" si="1"/>
        <v>10005</v>
      </c>
      <c r="E85" s="22">
        <v>82</v>
      </c>
      <c r="F85" s="33" t="s">
        <v>16</v>
      </c>
      <c r="G85" s="30">
        <f>HLOOKUP(mes_ano!$A$1,$H$4:$Q$176,E85,0)</f>
        <v>322.31</v>
      </c>
      <c r="H85" s="22">
        <v>285.12</v>
      </c>
      <c r="I85" s="31">
        <v>285.12</v>
      </c>
      <c r="J85" s="31">
        <v>285.12</v>
      </c>
      <c r="K85" s="31">
        <v>285.12</v>
      </c>
      <c r="L85" s="31">
        <v>322.31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ht="15">
      <c r="A86" s="22" t="str">
        <f t="shared" si="0"/>
        <v>5Fertilizantes</v>
      </c>
      <c r="B86" s="22">
        <v>5</v>
      </c>
      <c r="C86" s="22">
        <v>1000</v>
      </c>
      <c r="D86" s="22" t="str">
        <f t="shared" si="1"/>
        <v>10005</v>
      </c>
      <c r="E86" s="22">
        <v>83</v>
      </c>
      <c r="F86" s="33" t="s">
        <v>18</v>
      </c>
      <c r="G86" s="30">
        <f>HLOOKUP(mes_ano!$A$1,$H$4:$Q$176,E86,0)</f>
        <v>1055.37</v>
      </c>
      <c r="H86" s="22">
        <v>555.79</v>
      </c>
      <c r="I86" s="31">
        <v>607.02</v>
      </c>
      <c r="J86" s="31">
        <v>661.98</v>
      </c>
      <c r="K86" s="31">
        <v>796.28</v>
      </c>
      <c r="L86" s="31">
        <v>1055.37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ht="15">
      <c r="A87" s="22" t="str">
        <f t="shared" si="0"/>
        <v>5Agrotóxicos</v>
      </c>
      <c r="B87" s="22">
        <v>5</v>
      </c>
      <c r="C87" s="22">
        <v>1000</v>
      </c>
      <c r="D87" s="22" t="str">
        <f t="shared" si="1"/>
        <v>10005</v>
      </c>
      <c r="E87" s="22">
        <v>84</v>
      </c>
      <c r="F87" s="33" t="s">
        <v>20</v>
      </c>
      <c r="G87" s="30">
        <f>HLOOKUP(mes_ano!$A$1,$H$4:$Q$176,E87,0)</f>
        <v>671.41</v>
      </c>
      <c r="H87" s="22">
        <v>612.2</v>
      </c>
      <c r="I87" s="31">
        <v>640.07</v>
      </c>
      <c r="J87" s="31">
        <v>617.33</v>
      </c>
      <c r="K87" s="31">
        <v>583</v>
      </c>
      <c r="L87" s="31">
        <v>671.41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ht="15">
      <c r="A88" s="22" t="str">
        <f t="shared" si="0"/>
        <v>5Despesas gerais</v>
      </c>
      <c r="B88" s="22">
        <v>5</v>
      </c>
      <c r="C88" s="22">
        <v>1000</v>
      </c>
      <c r="D88" s="22" t="str">
        <f t="shared" si="1"/>
        <v>10005</v>
      </c>
      <c r="E88" s="22">
        <v>85</v>
      </c>
      <c r="F88" s="33" t="s">
        <v>22</v>
      </c>
      <c r="G88" s="30">
        <f>HLOOKUP(mes_ano!$A$1,$H$4:$Q$176,E88,0)</f>
        <v>163.59</v>
      </c>
      <c r="H88" s="22">
        <v>138.2</v>
      </c>
      <c r="I88" s="31">
        <v>140.22</v>
      </c>
      <c r="J88" s="31">
        <v>142.91</v>
      </c>
      <c r="K88" s="31">
        <v>149</v>
      </c>
      <c r="L88" s="31">
        <v>163.59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ht="15">
      <c r="A89" s="22" t="str">
        <f t="shared" si="0"/>
        <v>5Transporte externo</v>
      </c>
      <c r="B89" s="22">
        <v>5</v>
      </c>
      <c r="C89" s="22">
        <v>1000</v>
      </c>
      <c r="D89" s="22" t="str">
        <f t="shared" si="1"/>
        <v>10005</v>
      </c>
      <c r="E89" s="22">
        <v>86</v>
      </c>
      <c r="F89" s="29" t="s">
        <v>24</v>
      </c>
      <c r="G89" s="30">
        <f>HLOOKUP(mes_ano!$A$1,$H$4:$Q$176,E89,0)</f>
        <v>1322.31</v>
      </c>
      <c r="H89" s="22">
        <v>1024.79</v>
      </c>
      <c r="I89" s="31">
        <v>1024.79</v>
      </c>
      <c r="J89" s="31">
        <v>1057.85</v>
      </c>
      <c r="K89" s="31">
        <v>1157.02</v>
      </c>
      <c r="L89" s="31">
        <v>1322.31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ht="15">
      <c r="A90" s="22" t="str">
        <f t="shared" si="0"/>
        <v>5Assistência técnica</v>
      </c>
      <c r="B90" s="22">
        <v>5</v>
      </c>
      <c r="C90" s="22">
        <v>1000</v>
      </c>
      <c r="D90" s="22" t="str">
        <f t="shared" si="1"/>
        <v>10005</v>
      </c>
      <c r="E90" s="22">
        <v>87</v>
      </c>
      <c r="F90" s="33" t="s">
        <v>26</v>
      </c>
      <c r="G90" s="30">
        <f>HLOOKUP(mes_ano!$A$1,$H$4:$Q$176,E90,0)</f>
        <v>166.86</v>
      </c>
      <c r="H90" s="22">
        <v>140.97</v>
      </c>
      <c r="I90" s="31">
        <v>143.02</v>
      </c>
      <c r="J90" s="31">
        <v>145.77</v>
      </c>
      <c r="K90" s="31">
        <v>151.98</v>
      </c>
      <c r="L90" s="31">
        <v>166.86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ht="15">
      <c r="A91" s="22" t="str">
        <f t="shared" si="0"/>
        <v>5PROAGRO/SEGURO</v>
      </c>
      <c r="B91" s="22">
        <v>5</v>
      </c>
      <c r="C91" s="22">
        <v>1000</v>
      </c>
      <c r="D91" s="22" t="str">
        <f t="shared" si="1"/>
        <v>10005</v>
      </c>
      <c r="E91" s="22">
        <v>88</v>
      </c>
      <c r="F91" s="33" t="s">
        <v>28</v>
      </c>
      <c r="G91" s="30" t="str">
        <f>HLOOKUP(mes_ano!$A$1,$H$4:$Q$176,E91,0)</f>
        <v>-</v>
      </c>
      <c r="H91" s="22" t="s">
        <v>54</v>
      </c>
      <c r="I91" s="31" t="s">
        <v>75</v>
      </c>
      <c r="J91" s="31" t="s">
        <v>54</v>
      </c>
      <c r="K91" s="31" t="s">
        <v>54</v>
      </c>
      <c r="L91" s="31" t="s">
        <v>54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ht="15">
      <c r="A92" s="22" t="str">
        <f t="shared" si="0"/>
        <v>5Juros</v>
      </c>
      <c r="B92" s="22">
        <v>5</v>
      </c>
      <c r="C92" s="22">
        <v>1000</v>
      </c>
      <c r="D92" s="22" t="str">
        <f t="shared" si="1"/>
        <v>10005</v>
      </c>
      <c r="E92" s="22">
        <v>89</v>
      </c>
      <c r="F92" s="33" t="s">
        <v>30</v>
      </c>
      <c r="G92" s="30">
        <f>HLOOKUP(mes_ano!$A$1,$H$4:$Q$176,E92,0)</f>
        <v>198.64</v>
      </c>
      <c r="H92" s="22">
        <v>157.38</v>
      </c>
      <c r="I92" s="31">
        <v>161.71</v>
      </c>
      <c r="J92" s="31">
        <v>165.69</v>
      </c>
      <c r="K92" s="31">
        <v>175.31</v>
      </c>
      <c r="L92" s="31">
        <v>198.64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ht="15">
      <c r="A93" s="22" t="str">
        <f t="shared" si="0"/>
        <v>5Depreciação de máquinas e implementos</v>
      </c>
      <c r="B93" s="22">
        <v>5</v>
      </c>
      <c r="C93" s="22">
        <v>0</v>
      </c>
      <c r="D93" s="22" t="str">
        <f t="shared" si="1"/>
        <v>05</v>
      </c>
      <c r="E93" s="22">
        <v>90</v>
      </c>
      <c r="F93" s="33" t="s">
        <v>32</v>
      </c>
      <c r="G93" s="30">
        <f>HLOOKUP(mes_ano!$A$1,$H$4:$Q$176,E93,0)</f>
        <v>466.32</v>
      </c>
      <c r="H93" s="22">
        <v>284</v>
      </c>
      <c r="I93" s="31">
        <v>312.65</v>
      </c>
      <c r="J93" s="31">
        <v>347.34</v>
      </c>
      <c r="K93" s="31">
        <v>407.82</v>
      </c>
      <c r="L93" s="31">
        <v>466.32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ht="15">
      <c r="A94" s="22" t="str">
        <f t="shared" si="0"/>
        <v>5Depreciação de benfeitorias e instalações</v>
      </c>
      <c r="B94" s="22">
        <v>5</v>
      </c>
      <c r="C94" s="22">
        <v>0</v>
      </c>
      <c r="D94" s="22" t="str">
        <f t="shared" si="1"/>
        <v>05</v>
      </c>
      <c r="E94" s="22">
        <v>91</v>
      </c>
      <c r="F94" s="33" t="s">
        <v>33</v>
      </c>
      <c r="G94" s="30">
        <f>HLOOKUP(mes_ano!$A$1,$H$4:$Q$176,E94,0)</f>
        <v>36.06</v>
      </c>
      <c r="H94" s="22">
        <v>32.01</v>
      </c>
      <c r="I94" s="31">
        <v>32.83</v>
      </c>
      <c r="J94" s="31">
        <v>31.87</v>
      </c>
      <c r="K94" s="31">
        <v>32.31</v>
      </c>
      <c r="L94" s="31">
        <v>36.06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ht="15">
      <c r="A95" s="22" t="str">
        <f t="shared" si="0"/>
        <v>5Sistematização e correção do solo</v>
      </c>
      <c r="B95" s="22">
        <v>5</v>
      </c>
      <c r="C95" s="22">
        <v>0</v>
      </c>
      <c r="D95" s="22" t="str">
        <f t="shared" si="1"/>
        <v>05</v>
      </c>
      <c r="E95" s="22">
        <v>92</v>
      </c>
      <c r="F95" s="33" t="s">
        <v>34</v>
      </c>
      <c r="G95" s="30">
        <f>HLOOKUP(mes_ano!$A$1,$H$4:$Q$176,E95,0)</f>
        <v>601.19</v>
      </c>
      <c r="H95" s="22">
        <v>462.92</v>
      </c>
      <c r="I95" s="31">
        <v>487.47</v>
      </c>
      <c r="J95" s="31">
        <v>505.01</v>
      </c>
      <c r="K95" s="31">
        <v>586.05</v>
      </c>
      <c r="L95" s="31">
        <v>601.19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ht="15">
      <c r="A96" s="22" t="str">
        <f t="shared" si="0"/>
        <v>5Cultura</v>
      </c>
      <c r="B96" s="22">
        <v>5</v>
      </c>
      <c r="C96" s="22">
        <v>0</v>
      </c>
      <c r="D96" s="22" t="str">
        <f t="shared" si="1"/>
        <v>05</v>
      </c>
      <c r="E96" s="22">
        <v>93</v>
      </c>
      <c r="F96" s="33" t="s">
        <v>35</v>
      </c>
      <c r="G96" s="30" t="str">
        <f>HLOOKUP(mes_ano!$A$1,$H$4:$Q$176,E96,0)</f>
        <v>-</v>
      </c>
      <c r="H96" s="22" t="s">
        <v>54</v>
      </c>
      <c r="I96" s="31" t="s">
        <v>75</v>
      </c>
      <c r="J96" s="31" t="s">
        <v>54</v>
      </c>
      <c r="K96" s="31" t="s">
        <v>54</v>
      </c>
      <c r="L96" s="31" t="s">
        <v>54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ht="15">
      <c r="A97" s="22" t="str">
        <f t="shared" si="0"/>
        <v>5Seguro do capital</v>
      </c>
      <c r="B97" s="22">
        <v>5</v>
      </c>
      <c r="C97" s="22">
        <v>0</v>
      </c>
      <c r="D97" s="22" t="str">
        <f t="shared" si="1"/>
        <v>05</v>
      </c>
      <c r="E97" s="22">
        <v>94</v>
      </c>
      <c r="F97" s="33" t="s">
        <v>36</v>
      </c>
      <c r="G97" s="30">
        <f>HLOOKUP(mes_ano!$A$1,$H$4:$Q$176,E97,0)</f>
        <v>28.02</v>
      </c>
      <c r="H97" s="22">
        <v>20.24</v>
      </c>
      <c r="I97" s="31">
        <v>21.39</v>
      </c>
      <c r="J97" s="31">
        <v>22.55</v>
      </c>
      <c r="K97" s="31">
        <v>24.73</v>
      </c>
      <c r="L97" s="31">
        <v>28.02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ht="15">
      <c r="A98" s="22" t="str">
        <f t="shared" si="0"/>
        <v>5Mão-de-obra permanente</v>
      </c>
      <c r="B98" s="22">
        <v>5</v>
      </c>
      <c r="C98" s="22">
        <v>0</v>
      </c>
      <c r="D98" s="22" t="str">
        <f t="shared" si="1"/>
        <v>05</v>
      </c>
      <c r="E98" s="22">
        <v>95</v>
      </c>
      <c r="F98" s="29" t="s">
        <v>37</v>
      </c>
      <c r="G98" s="30">
        <f>HLOOKUP(mes_ano!$A$1,$H$4:$Q$176,E98,0)</f>
        <v>751.13</v>
      </c>
      <c r="H98" s="22">
        <v>648.15</v>
      </c>
      <c r="I98" s="31">
        <v>650.97</v>
      </c>
      <c r="J98" s="31">
        <v>666.5</v>
      </c>
      <c r="K98" s="31">
        <v>692.79</v>
      </c>
      <c r="L98" s="31">
        <v>751.13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ht="15">
      <c r="A99" s="22" t="str">
        <f t="shared" si="0"/>
        <v>5Remuneração do Capital próprio</v>
      </c>
      <c r="B99" s="22">
        <v>5</v>
      </c>
      <c r="C99" s="22">
        <v>0</v>
      </c>
      <c r="D99" s="22" t="str">
        <f t="shared" si="1"/>
        <v>05</v>
      </c>
      <c r="E99" s="22">
        <v>96</v>
      </c>
      <c r="F99" s="33" t="s">
        <v>39</v>
      </c>
      <c r="G99" s="30">
        <f>HLOOKUP(mes_ano!$A$1,$H$4:$Q$176,E99,0)</f>
        <v>295.49</v>
      </c>
      <c r="H99" s="22">
        <v>195.88</v>
      </c>
      <c r="I99" s="31">
        <v>211.64</v>
      </c>
      <c r="J99" s="31">
        <v>229.57</v>
      </c>
      <c r="K99" s="31">
        <v>260.87</v>
      </c>
      <c r="L99" s="31">
        <v>295.49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ht="15">
      <c r="A100" s="22" t="str">
        <f t="shared" si="0"/>
        <v>5Remuneração da terra</v>
      </c>
      <c r="B100" s="22">
        <v>5</v>
      </c>
      <c r="C100" s="22">
        <v>0</v>
      </c>
      <c r="D100" s="22" t="str">
        <f t="shared" si="1"/>
        <v>05</v>
      </c>
      <c r="E100" s="22">
        <v>97</v>
      </c>
      <c r="F100" s="33" t="s">
        <v>40</v>
      </c>
      <c r="G100" s="30">
        <f>HLOOKUP(mes_ano!$A$1,$H$4:$Q$176,E100,0)</f>
        <v>1949.12</v>
      </c>
      <c r="H100" s="22">
        <v>1286.69</v>
      </c>
      <c r="I100" s="31">
        <v>1327.67</v>
      </c>
      <c r="J100" s="31">
        <v>1397.44</v>
      </c>
      <c r="K100" s="31">
        <v>1993.45</v>
      </c>
      <c r="L100" s="31">
        <v>1949.12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t="15">
      <c r="A101" s="22" t="str">
        <f t="shared" si="0"/>
        <v>6Operação de máquinas e implementos</v>
      </c>
      <c r="B101" s="22">
        <v>6</v>
      </c>
      <c r="C101" s="22">
        <v>1000</v>
      </c>
      <c r="D101" s="22" t="str">
        <f t="shared" si="1"/>
        <v>10006</v>
      </c>
      <c r="E101" s="22">
        <v>98</v>
      </c>
      <c r="F101" s="29" t="s">
        <v>10</v>
      </c>
      <c r="G101" s="30">
        <f>HLOOKUP(mes_ano!$A$1,$H$4:$Q$176,E101,0)</f>
        <v>572.23</v>
      </c>
      <c r="H101" s="22">
        <v>385.44</v>
      </c>
      <c r="I101" s="36">
        <v>381.26</v>
      </c>
      <c r="J101" s="36">
        <v>439.78</v>
      </c>
      <c r="K101" s="36">
        <v>518.74</v>
      </c>
      <c r="L101" s="36">
        <v>572.23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ht="15">
      <c r="A102" s="22" t="str">
        <f t="shared" si="0"/>
        <v>6Despesas de manutenção de benfeitorias</v>
      </c>
      <c r="B102" s="22">
        <v>6</v>
      </c>
      <c r="C102" s="22">
        <v>1000</v>
      </c>
      <c r="D102" s="22" t="str">
        <f t="shared" si="1"/>
        <v>10006</v>
      </c>
      <c r="E102" s="22">
        <v>99</v>
      </c>
      <c r="F102" s="33" t="s">
        <v>12</v>
      </c>
      <c r="G102" s="30">
        <f>HLOOKUP(mes_ano!$A$1,$H$4:$Q$176,E102,0)</f>
        <v>39.16</v>
      </c>
      <c r="H102" s="22">
        <v>34.74</v>
      </c>
      <c r="I102" s="36">
        <v>35.26</v>
      </c>
      <c r="J102" s="36">
        <v>34.89</v>
      </c>
      <c r="K102" s="36">
        <v>36.1</v>
      </c>
      <c r="L102" s="36">
        <v>39.16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ht="15">
      <c r="A103" s="22" t="str">
        <f t="shared" si="0"/>
        <v>6Mão-de-obra temporária</v>
      </c>
      <c r="B103" s="22">
        <v>6</v>
      </c>
      <c r="C103" s="22">
        <v>1000</v>
      </c>
      <c r="D103" s="22" t="str">
        <f t="shared" si="1"/>
        <v>10006</v>
      </c>
      <c r="E103" s="22">
        <v>100</v>
      </c>
      <c r="F103" s="33" t="s">
        <v>14</v>
      </c>
      <c r="G103" s="30">
        <f>HLOOKUP(mes_ano!$A$1,$H$4:$Q$176,E103,0)</f>
        <v>42.94</v>
      </c>
      <c r="H103" s="22">
        <v>39.62</v>
      </c>
      <c r="I103" s="36">
        <v>39.6</v>
      </c>
      <c r="J103" s="36">
        <v>39.72</v>
      </c>
      <c r="K103" s="36">
        <v>40.24</v>
      </c>
      <c r="L103" s="36">
        <v>42.94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ht="15">
      <c r="A104" s="22" t="str">
        <f t="shared" si="0"/>
        <v>6Sementes/Manivas</v>
      </c>
      <c r="B104" s="22">
        <v>6</v>
      </c>
      <c r="C104" s="22">
        <v>1000</v>
      </c>
      <c r="D104" s="22" t="str">
        <f t="shared" si="1"/>
        <v>10006</v>
      </c>
      <c r="E104" s="22">
        <v>101</v>
      </c>
      <c r="F104" s="33" t="s">
        <v>16</v>
      </c>
      <c r="G104" s="30">
        <f>HLOOKUP(mes_ano!$A$1,$H$4:$Q$176,E104,0)</f>
        <v>1075.88</v>
      </c>
      <c r="H104" s="22">
        <v>911.7</v>
      </c>
      <c r="I104" s="36">
        <v>923.74</v>
      </c>
      <c r="J104" s="36">
        <v>922.24</v>
      </c>
      <c r="K104" s="36">
        <v>1030.9</v>
      </c>
      <c r="L104" s="36">
        <v>1075.88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t="15">
      <c r="A105" s="22" t="str">
        <f t="shared" si="0"/>
        <v>6Fertilizantes</v>
      </c>
      <c r="B105" s="22">
        <v>6</v>
      </c>
      <c r="C105" s="22">
        <v>1000</v>
      </c>
      <c r="D105" s="22" t="str">
        <f t="shared" si="1"/>
        <v>10006</v>
      </c>
      <c r="E105" s="22">
        <v>102</v>
      </c>
      <c r="F105" s="33" t="s">
        <v>18</v>
      </c>
      <c r="G105" s="30">
        <f>HLOOKUP(mes_ano!$A$1,$H$4:$Q$176,E105,0)</f>
        <v>2333</v>
      </c>
      <c r="H105" s="22">
        <v>1283</v>
      </c>
      <c r="I105" s="36">
        <v>1405.5</v>
      </c>
      <c r="J105" s="36">
        <v>1654</v>
      </c>
      <c r="K105" s="36">
        <v>1888.5</v>
      </c>
      <c r="L105" s="36">
        <v>2333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t="15">
      <c r="A106" s="22" t="str">
        <f t="shared" si="0"/>
        <v>6Agrotóxicos</v>
      </c>
      <c r="B106" s="22">
        <v>6</v>
      </c>
      <c r="C106" s="22">
        <v>1000</v>
      </c>
      <c r="D106" s="22" t="str">
        <f t="shared" si="1"/>
        <v>10006</v>
      </c>
      <c r="E106" s="22">
        <v>103</v>
      </c>
      <c r="F106" s="33" t="s">
        <v>20</v>
      </c>
      <c r="G106" s="30">
        <f>HLOOKUP(mes_ano!$A$1,$H$4:$Q$176,E106,0)</f>
        <v>255.64</v>
      </c>
      <c r="H106" s="22">
        <v>223.44</v>
      </c>
      <c r="I106" s="36">
        <v>228.24</v>
      </c>
      <c r="J106" s="36">
        <v>226.96</v>
      </c>
      <c r="K106" s="36">
        <v>244.05</v>
      </c>
      <c r="L106" s="36">
        <v>255.64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t="15">
      <c r="A107" s="22" t="str">
        <f t="shared" si="0"/>
        <v>6Despesas gerais</v>
      </c>
      <c r="B107" s="22">
        <v>6</v>
      </c>
      <c r="C107" s="22">
        <v>1000</v>
      </c>
      <c r="D107" s="22" t="str">
        <f t="shared" si="1"/>
        <v>10006</v>
      </c>
      <c r="E107" s="22">
        <v>104</v>
      </c>
      <c r="F107" s="33" t="s">
        <v>22</v>
      </c>
      <c r="G107" s="30">
        <f>HLOOKUP(mes_ano!$A$1,$H$4:$Q$176,E107,0)</f>
        <v>86.38</v>
      </c>
      <c r="H107" s="22">
        <v>57.56</v>
      </c>
      <c r="I107" s="36">
        <v>60.27</v>
      </c>
      <c r="J107" s="36">
        <v>66.35</v>
      </c>
      <c r="K107" s="36">
        <v>75.17</v>
      </c>
      <c r="L107" s="36">
        <v>86.38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t="15">
      <c r="A108" s="22" t="str">
        <f t="shared" si="0"/>
        <v>6Transporte externo</v>
      </c>
      <c r="B108" s="22">
        <v>6</v>
      </c>
      <c r="C108" s="22">
        <v>1000</v>
      </c>
      <c r="D108" s="22" t="str">
        <f t="shared" si="1"/>
        <v>10006</v>
      </c>
      <c r="E108" s="22">
        <v>105</v>
      </c>
      <c r="F108" s="29" t="s">
        <v>24</v>
      </c>
      <c r="G108" s="30">
        <f>HLOOKUP(mes_ano!$A$1,$H$4:$Q$176,E108,0)</f>
        <v>400.4</v>
      </c>
      <c r="H108" s="22">
        <v>305.2</v>
      </c>
      <c r="I108" s="36">
        <v>312.2</v>
      </c>
      <c r="J108" s="36">
        <v>295.4</v>
      </c>
      <c r="K108" s="36">
        <v>310.8</v>
      </c>
      <c r="L108" s="36">
        <v>400.4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ht="15">
      <c r="A109" s="22" t="str">
        <f t="shared" si="0"/>
        <v>6Assistência técnica</v>
      </c>
      <c r="B109" s="22">
        <v>6</v>
      </c>
      <c r="C109" s="22">
        <v>1000</v>
      </c>
      <c r="D109" s="22" t="str">
        <f t="shared" si="1"/>
        <v>10006</v>
      </c>
      <c r="E109" s="22">
        <v>106</v>
      </c>
      <c r="F109" s="33" t="s">
        <v>26</v>
      </c>
      <c r="G109" s="30">
        <f>HLOOKUP(mes_ano!$A$1,$H$4:$Q$176,E109,0)</f>
        <v>88.1</v>
      </c>
      <c r="H109" s="22">
        <v>58.71</v>
      </c>
      <c r="I109" s="36">
        <v>61.48</v>
      </c>
      <c r="J109" s="36">
        <v>67.68</v>
      </c>
      <c r="K109" s="36">
        <v>76.67</v>
      </c>
      <c r="L109" s="36">
        <v>88.1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5">
      <c r="A110" s="22" t="str">
        <f t="shared" si="0"/>
        <v>6PROAGRO/SEGURO</v>
      </c>
      <c r="B110" s="22">
        <v>6</v>
      </c>
      <c r="C110" s="22">
        <v>1000</v>
      </c>
      <c r="D110" s="22" t="str">
        <f t="shared" si="1"/>
        <v>10006</v>
      </c>
      <c r="E110" s="22">
        <v>107</v>
      </c>
      <c r="F110" s="33" t="s">
        <v>28</v>
      </c>
      <c r="G110" s="30">
        <f>HLOOKUP(mes_ano!$A$1,$H$4:$Q$176,E110,0)</f>
        <v>129.57</v>
      </c>
      <c r="H110" s="22">
        <v>86.34</v>
      </c>
      <c r="I110" s="36">
        <v>90.41</v>
      </c>
      <c r="J110" s="36">
        <v>99.53</v>
      </c>
      <c r="K110" s="36">
        <v>112.76</v>
      </c>
      <c r="L110" s="36">
        <v>129.57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ht="15">
      <c r="A111" s="22" t="str">
        <f t="shared" si="0"/>
        <v>6Juros</v>
      </c>
      <c r="B111" s="22">
        <v>6</v>
      </c>
      <c r="C111" s="22">
        <v>1000</v>
      </c>
      <c r="D111" s="22" t="str">
        <f t="shared" si="1"/>
        <v>10006</v>
      </c>
      <c r="E111" s="22">
        <v>108</v>
      </c>
      <c r="F111" s="33" t="s">
        <v>30</v>
      </c>
      <c r="G111" s="30">
        <f>HLOOKUP(mes_ano!$A$1,$H$4:$Q$176,E111,0)</f>
        <v>149.8</v>
      </c>
      <c r="H111" s="22">
        <v>100.27</v>
      </c>
      <c r="I111" s="36">
        <v>105.35</v>
      </c>
      <c r="J111" s="36">
        <v>114.7</v>
      </c>
      <c r="K111" s="36">
        <v>129.72</v>
      </c>
      <c r="L111" s="36">
        <v>149.8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ht="15">
      <c r="A112" s="22" t="str">
        <f t="shared" si="0"/>
        <v>6Depreciação de máquinas e implementos</v>
      </c>
      <c r="B112" s="22">
        <v>6</v>
      </c>
      <c r="C112" s="22">
        <v>0</v>
      </c>
      <c r="D112" s="22" t="str">
        <f t="shared" si="1"/>
        <v>06</v>
      </c>
      <c r="E112" s="22">
        <v>109</v>
      </c>
      <c r="F112" s="33" t="s">
        <v>32</v>
      </c>
      <c r="G112" s="30">
        <f>HLOOKUP(mes_ano!$A$1,$H$4:$Q$176,E112,0)</f>
        <v>528.61</v>
      </c>
      <c r="H112" s="22">
        <v>345.2</v>
      </c>
      <c r="I112" s="36">
        <v>339.77</v>
      </c>
      <c r="J112" s="36">
        <v>395.49</v>
      </c>
      <c r="K112" s="36">
        <v>465.53</v>
      </c>
      <c r="L112" s="36">
        <v>528.61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t="15">
      <c r="A113" s="22" t="str">
        <f t="shared" si="0"/>
        <v>6Depreciação de benfeitorias e instalações</v>
      </c>
      <c r="B113" s="22">
        <v>6</v>
      </c>
      <c r="C113" s="22">
        <v>0</v>
      </c>
      <c r="D113" s="22" t="str">
        <f t="shared" si="1"/>
        <v>06</v>
      </c>
      <c r="E113" s="22">
        <v>110</v>
      </c>
      <c r="F113" s="33" t="s">
        <v>33</v>
      </c>
      <c r="G113" s="30">
        <f>HLOOKUP(mes_ano!$A$1,$H$4:$Q$176,E113,0)</f>
        <v>57.11</v>
      </c>
      <c r="H113" s="22">
        <v>50.58</v>
      </c>
      <c r="I113" s="36">
        <v>51.28</v>
      </c>
      <c r="J113" s="36">
        <v>50.74</v>
      </c>
      <c r="K113" s="36">
        <v>52.43</v>
      </c>
      <c r="L113" s="36">
        <v>57.11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ht="15">
      <c r="A114" s="22" t="str">
        <f t="shared" si="0"/>
        <v>6Sistematização e correção do solo</v>
      </c>
      <c r="B114" s="22">
        <v>6</v>
      </c>
      <c r="C114" s="22">
        <v>0</v>
      </c>
      <c r="D114" s="22" t="str">
        <f t="shared" si="1"/>
        <v>06</v>
      </c>
      <c r="E114" s="22">
        <v>111</v>
      </c>
      <c r="F114" s="33" t="s">
        <v>34</v>
      </c>
      <c r="G114" s="30">
        <f>HLOOKUP(mes_ano!$A$1,$H$4:$Q$176,E114,0)</f>
        <v>108.59</v>
      </c>
      <c r="H114" s="22">
        <v>85.79</v>
      </c>
      <c r="I114" s="36">
        <v>94.27</v>
      </c>
      <c r="J114" s="36">
        <v>92.69</v>
      </c>
      <c r="K114" s="36">
        <v>109.05</v>
      </c>
      <c r="L114" s="36">
        <v>108.59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ht="15">
      <c r="A115" s="22" t="str">
        <f t="shared" si="0"/>
        <v>6Cultura</v>
      </c>
      <c r="B115" s="22">
        <v>6</v>
      </c>
      <c r="C115" s="22">
        <v>0</v>
      </c>
      <c r="D115" s="22" t="str">
        <f t="shared" si="1"/>
        <v>06</v>
      </c>
      <c r="E115" s="22">
        <v>112</v>
      </c>
      <c r="F115" s="33" t="s">
        <v>35</v>
      </c>
      <c r="G115" s="30" t="str">
        <f>HLOOKUP(mes_ano!$A$1,$H$4:$Q$176,E115,0)</f>
        <v>-</v>
      </c>
      <c r="H115" s="22" t="s">
        <v>54</v>
      </c>
      <c r="I115" s="36" t="s">
        <v>54</v>
      </c>
      <c r="J115" s="36" t="s">
        <v>54</v>
      </c>
      <c r="K115" s="36" t="s">
        <v>54</v>
      </c>
      <c r="L115" s="36" t="s">
        <v>54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ht="15">
      <c r="A116" s="22" t="str">
        <f t="shared" si="0"/>
        <v>6Seguro do capital</v>
      </c>
      <c r="B116" s="22">
        <v>6</v>
      </c>
      <c r="C116" s="22">
        <v>0</v>
      </c>
      <c r="D116" s="22" t="str">
        <f t="shared" si="1"/>
        <v>06</v>
      </c>
      <c r="E116" s="22">
        <v>113</v>
      </c>
      <c r="F116" s="33" t="s">
        <v>36</v>
      </c>
      <c r="G116" s="30">
        <f>HLOOKUP(mes_ano!$A$1,$H$4:$Q$176,E116,0)</f>
        <v>38.86</v>
      </c>
      <c r="H116" s="22">
        <v>28.95</v>
      </c>
      <c r="I116" s="36">
        <v>28.64</v>
      </c>
      <c r="J116" s="36">
        <v>31.28</v>
      </c>
      <c r="K116" s="36">
        <v>34.97</v>
      </c>
      <c r="L116" s="36">
        <v>38.86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ht="15">
      <c r="A117" s="22" t="str">
        <f t="shared" si="0"/>
        <v>6Mão-de-obra permanente</v>
      </c>
      <c r="B117" s="22">
        <v>6</v>
      </c>
      <c r="C117" s="22">
        <v>0</v>
      </c>
      <c r="D117" s="22" t="str">
        <f t="shared" si="1"/>
        <v>06</v>
      </c>
      <c r="E117" s="22">
        <v>114</v>
      </c>
      <c r="F117" s="29" t="s">
        <v>37</v>
      </c>
      <c r="G117" s="30">
        <f>HLOOKUP(mes_ano!$A$1,$H$4:$Q$176,E117,0)</f>
        <v>356.14</v>
      </c>
      <c r="H117" s="22">
        <v>253.86</v>
      </c>
      <c r="I117" s="36">
        <v>262.16</v>
      </c>
      <c r="J117" s="36">
        <v>282.74</v>
      </c>
      <c r="K117" s="36">
        <v>313.11</v>
      </c>
      <c r="L117" s="36">
        <v>356.14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5">
      <c r="A118" s="22" t="str">
        <f t="shared" si="0"/>
        <v>6Remuneração do Capital próprio</v>
      </c>
      <c r="B118" s="22">
        <v>6</v>
      </c>
      <c r="C118" s="22">
        <v>0</v>
      </c>
      <c r="D118" s="22" t="str">
        <f t="shared" si="1"/>
        <v>06</v>
      </c>
      <c r="E118" s="22">
        <v>115</v>
      </c>
      <c r="F118" s="33" t="s">
        <v>39</v>
      </c>
      <c r="G118" s="30">
        <f>HLOOKUP(mes_ano!$A$1,$H$4:$Q$176,E118,0)</f>
        <v>369.1</v>
      </c>
      <c r="H118" s="22">
        <v>261.31</v>
      </c>
      <c r="I118" s="36">
        <v>256.49</v>
      </c>
      <c r="J118" s="36">
        <v>289.06</v>
      </c>
      <c r="K118" s="36">
        <v>330.48</v>
      </c>
      <c r="L118" s="36">
        <v>369.1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ht="15">
      <c r="A119" s="22" t="str">
        <f t="shared" si="0"/>
        <v>6Remuneração da terra</v>
      </c>
      <c r="B119" s="22">
        <v>6</v>
      </c>
      <c r="C119" s="22">
        <v>0</v>
      </c>
      <c r="D119" s="22" t="str">
        <f t="shared" si="1"/>
        <v>06</v>
      </c>
      <c r="E119" s="22">
        <v>116</v>
      </c>
      <c r="F119" s="33" t="s">
        <v>40</v>
      </c>
      <c r="G119" s="30">
        <f>HLOOKUP(mes_ano!$A$1,$H$4:$Q$176,E119,0)</f>
        <v>1045.55</v>
      </c>
      <c r="H119" s="22">
        <v>691.08</v>
      </c>
      <c r="I119" s="36">
        <v>711.13</v>
      </c>
      <c r="J119" s="36">
        <v>750.23</v>
      </c>
      <c r="K119" s="36">
        <v>1068.23</v>
      </c>
      <c r="L119" s="36">
        <v>1045.55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ht="15">
      <c r="A120" s="22" t="str">
        <f t="shared" si="0"/>
        <v>7Operação de máquinas e implementos</v>
      </c>
      <c r="B120" s="22">
        <v>7</v>
      </c>
      <c r="C120" s="22">
        <v>1000</v>
      </c>
      <c r="D120" s="22" t="str">
        <f t="shared" si="1"/>
        <v>10007</v>
      </c>
      <c r="E120" s="22">
        <v>117</v>
      </c>
      <c r="F120" s="37" t="s">
        <v>10</v>
      </c>
      <c r="G120" s="30">
        <f>HLOOKUP(mes_ano!$A$1,$H$4:$Q$176,E120,0)</f>
        <v>509.25</v>
      </c>
      <c r="H120" s="22">
        <v>345.45</v>
      </c>
      <c r="I120" s="38">
        <v>338.07</v>
      </c>
      <c r="J120" s="38">
        <v>392.79</v>
      </c>
      <c r="K120" s="38">
        <v>464.2</v>
      </c>
      <c r="L120" s="38">
        <v>509.25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ht="15">
      <c r="A121" s="22" t="str">
        <f t="shared" si="0"/>
        <v>7Despesas de manutenção de benfeitorias</v>
      </c>
      <c r="B121" s="22">
        <v>7</v>
      </c>
      <c r="C121" s="22">
        <v>1000</v>
      </c>
      <c r="D121" s="22" t="str">
        <f t="shared" si="1"/>
        <v>10007</v>
      </c>
      <c r="E121" s="22">
        <v>118</v>
      </c>
      <c r="F121" s="39" t="s">
        <v>12</v>
      </c>
      <c r="G121" s="30">
        <f>HLOOKUP(mes_ano!$A$1,$H$4:$Q$176,E121,0)</f>
        <v>55.95</v>
      </c>
      <c r="H121" s="22">
        <v>49.63</v>
      </c>
      <c r="I121" s="38">
        <v>50.37</v>
      </c>
      <c r="J121" s="38">
        <v>49.85</v>
      </c>
      <c r="K121" s="38">
        <v>51.58</v>
      </c>
      <c r="L121" s="38">
        <v>55.95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ht="15">
      <c r="A122" s="22" t="str">
        <f t="shared" si="0"/>
        <v>7Mão-de-obra temporária</v>
      </c>
      <c r="B122" s="22">
        <v>7</v>
      </c>
      <c r="C122" s="22">
        <v>1000</v>
      </c>
      <c r="D122" s="22" t="str">
        <f t="shared" si="1"/>
        <v>10007</v>
      </c>
      <c r="E122" s="22">
        <v>119</v>
      </c>
      <c r="F122" s="39" t="s">
        <v>14</v>
      </c>
      <c r="G122" s="30">
        <f>HLOOKUP(mes_ano!$A$1,$H$4:$Q$176,E122,0)</f>
        <v>37.57</v>
      </c>
      <c r="H122" s="22">
        <v>34.66</v>
      </c>
      <c r="I122" s="38">
        <v>34.65</v>
      </c>
      <c r="J122" s="38">
        <v>34.75</v>
      </c>
      <c r="K122" s="38">
        <v>35.21</v>
      </c>
      <c r="L122" s="38">
        <v>37.57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ht="15">
      <c r="A123" s="22" t="str">
        <f t="shared" si="0"/>
        <v>7Sementes/Manivas</v>
      </c>
      <c r="B123" s="22">
        <v>7</v>
      </c>
      <c r="C123" s="22">
        <v>1000</v>
      </c>
      <c r="D123" s="22" t="str">
        <f t="shared" si="1"/>
        <v>10007</v>
      </c>
      <c r="E123" s="22">
        <v>120</v>
      </c>
      <c r="F123" s="39" t="s">
        <v>16</v>
      </c>
      <c r="G123" s="30">
        <f>HLOOKUP(mes_ano!$A$1,$H$4:$Q$176,E123,0)</f>
        <v>896.57</v>
      </c>
      <c r="H123" s="22">
        <v>759.75</v>
      </c>
      <c r="I123" s="38">
        <v>769.78</v>
      </c>
      <c r="J123" s="38">
        <v>768.53</v>
      </c>
      <c r="K123" s="38">
        <v>859.08</v>
      </c>
      <c r="L123" s="38">
        <v>896.57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ht="15">
      <c r="A124" s="22" t="str">
        <f t="shared" si="0"/>
        <v>7Fertilizantes</v>
      </c>
      <c r="B124" s="22">
        <v>7</v>
      </c>
      <c r="C124" s="22">
        <v>1000</v>
      </c>
      <c r="D124" s="22" t="str">
        <f t="shared" si="1"/>
        <v>10007</v>
      </c>
      <c r="E124" s="22">
        <v>121</v>
      </c>
      <c r="F124" s="39" t="s">
        <v>18</v>
      </c>
      <c r="G124" s="30">
        <f>HLOOKUP(mes_ano!$A$1,$H$4:$Q$176,E124,0)</f>
        <v>528</v>
      </c>
      <c r="H124" s="22">
        <v>318</v>
      </c>
      <c r="I124" s="38">
        <v>328.5</v>
      </c>
      <c r="J124" s="38">
        <v>382.5</v>
      </c>
      <c r="K124" s="38">
        <v>447</v>
      </c>
      <c r="L124" s="38">
        <v>528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ht="15">
      <c r="A125" s="22" t="str">
        <f t="shared" si="0"/>
        <v>7Agrotóxicos</v>
      </c>
      <c r="B125" s="22">
        <v>7</v>
      </c>
      <c r="C125" s="22">
        <v>1000</v>
      </c>
      <c r="D125" s="22" t="str">
        <f t="shared" si="1"/>
        <v>10007</v>
      </c>
      <c r="E125" s="22">
        <v>122</v>
      </c>
      <c r="F125" s="39" t="s">
        <v>20</v>
      </c>
      <c r="G125" s="30">
        <f>HLOOKUP(mes_ano!$A$1,$H$4:$Q$176,E125,0)</f>
        <v>270.83</v>
      </c>
      <c r="H125" s="22">
        <v>244.88</v>
      </c>
      <c r="I125" s="38">
        <v>243.53</v>
      </c>
      <c r="J125" s="38">
        <v>243.49</v>
      </c>
      <c r="K125" s="38">
        <v>263.99</v>
      </c>
      <c r="L125" s="38">
        <v>270.83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ht="15">
      <c r="A126" s="22" t="str">
        <f t="shared" si="0"/>
        <v>7Despesas gerais</v>
      </c>
      <c r="B126" s="22">
        <v>7</v>
      </c>
      <c r="C126" s="22">
        <v>1000</v>
      </c>
      <c r="D126" s="22" t="str">
        <f t="shared" si="1"/>
        <v>10007</v>
      </c>
      <c r="E126" s="22">
        <v>123</v>
      </c>
      <c r="F126" s="39" t="s">
        <v>22</v>
      </c>
      <c r="G126" s="30">
        <f>HLOOKUP(mes_ano!$A$1,$H$4:$Q$176,E126,0)</f>
        <v>45.96</v>
      </c>
      <c r="H126" s="22">
        <v>35.05</v>
      </c>
      <c r="I126" s="38">
        <v>35.3</v>
      </c>
      <c r="J126" s="38">
        <v>37.44</v>
      </c>
      <c r="K126" s="38">
        <v>42.42</v>
      </c>
      <c r="L126" s="38">
        <v>45.96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ht="15">
      <c r="A127" s="22" t="str">
        <f t="shared" si="0"/>
        <v>7Transporte externo</v>
      </c>
      <c r="B127" s="22">
        <v>7</v>
      </c>
      <c r="C127" s="22">
        <v>1000</v>
      </c>
      <c r="D127" s="22" t="str">
        <f t="shared" si="1"/>
        <v>10007</v>
      </c>
      <c r="E127" s="22">
        <v>124</v>
      </c>
      <c r="F127" s="37" t="s">
        <v>24</v>
      </c>
      <c r="G127" s="30">
        <f>HLOOKUP(mes_ano!$A$1,$H$4:$Q$176,E127,0)</f>
        <v>228.8</v>
      </c>
      <c r="H127" s="22">
        <v>174.4</v>
      </c>
      <c r="I127" s="38">
        <v>178.4</v>
      </c>
      <c r="J127" s="38">
        <v>168.8</v>
      </c>
      <c r="K127" s="38">
        <v>177.6</v>
      </c>
      <c r="L127" s="38">
        <v>228.8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ht="15">
      <c r="A128" s="22" t="str">
        <f t="shared" si="0"/>
        <v>7Assistência técnica</v>
      </c>
      <c r="B128" s="22">
        <v>7</v>
      </c>
      <c r="C128" s="22">
        <v>1000</v>
      </c>
      <c r="D128" s="22" t="str">
        <f t="shared" si="1"/>
        <v>10007</v>
      </c>
      <c r="E128" s="22">
        <v>125</v>
      </c>
      <c r="F128" s="39" t="s">
        <v>26</v>
      </c>
      <c r="G128" s="30">
        <f>HLOOKUP(mes_ano!$A$1,$H$4:$Q$176,E128,0)</f>
        <v>46.88</v>
      </c>
      <c r="H128" s="22">
        <v>35.75</v>
      </c>
      <c r="I128" s="38">
        <v>36</v>
      </c>
      <c r="J128" s="38">
        <v>38.19</v>
      </c>
      <c r="K128" s="38">
        <v>43.27</v>
      </c>
      <c r="L128" s="38">
        <v>46.88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ht="15">
      <c r="A129" s="22" t="str">
        <f t="shared" si="0"/>
        <v>7PROAGRO/SEGURO</v>
      </c>
      <c r="B129" s="22">
        <v>7</v>
      </c>
      <c r="C129" s="22">
        <v>1000</v>
      </c>
      <c r="D129" s="22" t="str">
        <f t="shared" si="1"/>
        <v>10007</v>
      </c>
      <c r="E129" s="22">
        <v>126</v>
      </c>
      <c r="F129" s="39" t="s">
        <v>28</v>
      </c>
      <c r="G129" s="30">
        <f>HLOOKUP(mes_ano!$A$1,$H$4:$Q$176,E129,0)</f>
        <v>68.95</v>
      </c>
      <c r="H129" s="22">
        <v>52.57</v>
      </c>
      <c r="I129" s="38">
        <v>52.95</v>
      </c>
      <c r="J129" s="38">
        <v>56.16</v>
      </c>
      <c r="K129" s="38">
        <v>63.63</v>
      </c>
      <c r="L129" s="38">
        <v>68.95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t="15">
      <c r="A130" s="22" t="str">
        <f t="shared" si="0"/>
        <v>7Juros</v>
      </c>
      <c r="B130" s="22">
        <v>7</v>
      </c>
      <c r="C130" s="22">
        <v>1000</v>
      </c>
      <c r="D130" s="22" t="str">
        <f t="shared" si="1"/>
        <v>10007</v>
      </c>
      <c r="E130" s="22">
        <v>127</v>
      </c>
      <c r="F130" s="39" t="s">
        <v>30</v>
      </c>
      <c r="G130" s="30">
        <f>HLOOKUP(mes_ano!$A$1,$H$4:$Q$176,E130,0)</f>
        <v>111.39</v>
      </c>
      <c r="H130" s="22">
        <v>77.74</v>
      </c>
      <c r="I130" s="38">
        <v>80.22</v>
      </c>
      <c r="J130" s="38">
        <v>86.14</v>
      </c>
      <c r="K130" s="38">
        <v>98.18</v>
      </c>
      <c r="L130" s="38">
        <v>111.39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ht="15">
      <c r="A131" s="22" t="str">
        <f t="shared" si="0"/>
        <v>7Depreciação de máquinas e implementos</v>
      </c>
      <c r="B131" s="22">
        <v>7</v>
      </c>
      <c r="C131" s="22">
        <v>0</v>
      </c>
      <c r="D131" s="22" t="str">
        <f t="shared" si="1"/>
        <v>07</v>
      </c>
      <c r="E131" s="22">
        <v>128</v>
      </c>
      <c r="F131" s="39" t="s">
        <v>32</v>
      </c>
      <c r="G131" s="30">
        <f>HLOOKUP(mes_ano!$A$1,$H$4:$Q$176,E131,0)</f>
        <v>469.08</v>
      </c>
      <c r="H131" s="22">
        <v>308.86</v>
      </c>
      <c r="I131" s="38">
        <v>299.93</v>
      </c>
      <c r="J131" s="38">
        <v>352.27</v>
      </c>
      <c r="K131" s="38">
        <v>415.83</v>
      </c>
      <c r="L131" s="38">
        <v>469.08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ht="15">
      <c r="A132" s="22" t="str">
        <f t="shared" si="0"/>
        <v>7Depreciação de benfeitorias e instalações</v>
      </c>
      <c r="B132" s="22">
        <v>7</v>
      </c>
      <c r="C132" s="22">
        <v>0</v>
      </c>
      <c r="D132" s="22" t="str">
        <f t="shared" si="1"/>
        <v>07</v>
      </c>
      <c r="E132" s="22">
        <v>129</v>
      </c>
      <c r="F132" s="39" t="s">
        <v>33</v>
      </c>
      <c r="G132" s="30">
        <f>HLOOKUP(mes_ano!$A$1,$H$4:$Q$176,E132,0)</f>
        <v>74.6</v>
      </c>
      <c r="H132" s="22">
        <v>66.17</v>
      </c>
      <c r="I132" s="38">
        <v>67.16</v>
      </c>
      <c r="J132" s="38">
        <v>66.47</v>
      </c>
      <c r="K132" s="38">
        <v>68.78</v>
      </c>
      <c r="L132" s="38">
        <v>74.6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ht="15">
      <c r="A133" s="22" t="str">
        <f t="shared" si="0"/>
        <v>7Sistematização e correção do solo</v>
      </c>
      <c r="B133" s="22">
        <v>7</v>
      </c>
      <c r="C133" s="22">
        <v>0</v>
      </c>
      <c r="D133" s="22" t="str">
        <f t="shared" si="1"/>
        <v>07</v>
      </c>
      <c r="E133" s="22">
        <v>130</v>
      </c>
      <c r="F133" s="39" t="s">
        <v>34</v>
      </c>
      <c r="G133" s="30">
        <f>HLOOKUP(mes_ano!$A$1,$H$4:$Q$176,E133,0)</f>
        <v>108.59</v>
      </c>
      <c r="H133" s="22">
        <v>85.79</v>
      </c>
      <c r="I133" s="38">
        <v>94.27</v>
      </c>
      <c r="J133" s="38">
        <v>92.69</v>
      </c>
      <c r="K133" s="38">
        <v>109.05</v>
      </c>
      <c r="L133" s="38">
        <v>108.59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ht="15">
      <c r="A134" s="22" t="str">
        <f t="shared" si="0"/>
        <v>7Cultura</v>
      </c>
      <c r="B134" s="22">
        <v>7</v>
      </c>
      <c r="C134" s="22">
        <v>0</v>
      </c>
      <c r="D134" s="22" t="str">
        <f t="shared" si="1"/>
        <v>07</v>
      </c>
      <c r="E134" s="22">
        <v>131</v>
      </c>
      <c r="F134" s="39" t="s">
        <v>35</v>
      </c>
      <c r="G134" s="30" t="str">
        <f>HLOOKUP(mes_ano!$A$1,$H$4:$Q$176,E134,0)</f>
        <v>-</v>
      </c>
      <c r="H134" s="22" t="s">
        <v>54</v>
      </c>
      <c r="I134" s="38" t="s">
        <v>54</v>
      </c>
      <c r="J134" s="38" t="s">
        <v>54</v>
      </c>
      <c r="K134" s="38" t="s">
        <v>54</v>
      </c>
      <c r="L134" s="38" t="s">
        <v>54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ht="15">
      <c r="A135" s="22" t="str">
        <f t="shared" si="0"/>
        <v>7Seguro do capital</v>
      </c>
      <c r="B135" s="22">
        <v>7</v>
      </c>
      <c r="C135" s="22">
        <v>0</v>
      </c>
      <c r="D135" s="22" t="str">
        <f t="shared" si="1"/>
        <v>07</v>
      </c>
      <c r="E135" s="22">
        <v>132</v>
      </c>
      <c r="F135" s="39" t="s">
        <v>36</v>
      </c>
      <c r="G135" s="30">
        <f>HLOOKUP(mes_ano!$A$1,$H$4:$Q$176,E135,0)</f>
        <v>41.24</v>
      </c>
      <c r="H135" s="22">
        <v>31.62</v>
      </c>
      <c r="I135" s="38">
        <v>31.26</v>
      </c>
      <c r="J135" s="38">
        <v>33.75</v>
      </c>
      <c r="K135" s="38">
        <v>37.38</v>
      </c>
      <c r="L135" s="38">
        <v>41.24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ht="15">
      <c r="A136" s="22" t="str">
        <f t="shared" si="0"/>
        <v>7Mão-de-obra permanente</v>
      </c>
      <c r="B136" s="22">
        <v>7</v>
      </c>
      <c r="C136" s="22">
        <v>0</v>
      </c>
      <c r="D136" s="22" t="str">
        <f t="shared" si="1"/>
        <v>07</v>
      </c>
      <c r="E136" s="22">
        <v>133</v>
      </c>
      <c r="F136" s="37" t="s">
        <v>37</v>
      </c>
      <c r="G136" s="30">
        <f>HLOOKUP(mes_ano!$A$1,$H$4:$Q$176,E136,0)</f>
        <v>208.58</v>
      </c>
      <c r="H136" s="22">
        <v>167.31</v>
      </c>
      <c r="I136" s="38">
        <v>167.5</v>
      </c>
      <c r="J136" s="38">
        <v>175.48</v>
      </c>
      <c r="K136" s="38">
        <v>192.94</v>
      </c>
      <c r="L136" s="38">
        <v>208.58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ht="15">
      <c r="A137" s="22" t="str">
        <f t="shared" si="0"/>
        <v>7Remuneração do Capital próprio</v>
      </c>
      <c r="B137" s="22">
        <v>7</v>
      </c>
      <c r="C137" s="22">
        <v>0</v>
      </c>
      <c r="D137" s="22" t="str">
        <f t="shared" si="1"/>
        <v>07</v>
      </c>
      <c r="E137" s="22">
        <v>134</v>
      </c>
      <c r="F137" s="39" t="s">
        <v>39</v>
      </c>
      <c r="G137" s="30">
        <f>HLOOKUP(mes_ano!$A$1,$H$4:$Q$176,E137,0)</f>
        <v>367.96</v>
      </c>
      <c r="H137" s="22">
        <v>266.86</v>
      </c>
      <c r="I137" s="38">
        <v>260.94</v>
      </c>
      <c r="J137" s="38">
        <v>291.94</v>
      </c>
      <c r="K137" s="38">
        <v>331.73</v>
      </c>
      <c r="L137" s="38">
        <v>367.96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ht="15">
      <c r="A138" s="22" t="str">
        <f t="shared" si="0"/>
        <v>7Remuneração da terra</v>
      </c>
      <c r="B138" s="22">
        <v>7</v>
      </c>
      <c r="C138" s="22">
        <v>0</v>
      </c>
      <c r="D138" s="22" t="str">
        <f t="shared" si="1"/>
        <v>07</v>
      </c>
      <c r="E138" s="22">
        <v>135</v>
      </c>
      <c r="F138" s="39" t="s">
        <v>40</v>
      </c>
      <c r="G138" s="30">
        <f>HLOOKUP(mes_ano!$A$1,$H$4:$Q$176,E138,0)</f>
        <v>1045.55</v>
      </c>
      <c r="H138" s="22">
        <v>691.08</v>
      </c>
      <c r="I138" s="38">
        <v>711.13</v>
      </c>
      <c r="J138" s="38">
        <v>750.23</v>
      </c>
      <c r="K138" s="38">
        <v>1068.23</v>
      </c>
      <c r="L138" s="38">
        <v>1045.55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ht="15">
      <c r="A139" s="22" t="str">
        <f t="shared" si="0"/>
        <v>8Operação de máquinas e implementos</v>
      </c>
      <c r="B139" s="22">
        <v>8</v>
      </c>
      <c r="C139" s="22">
        <v>1000</v>
      </c>
      <c r="D139" s="22" t="str">
        <f t="shared" si="1"/>
        <v>10008</v>
      </c>
      <c r="E139" s="22">
        <v>136</v>
      </c>
      <c r="F139" s="29" t="s">
        <v>10</v>
      </c>
      <c r="G139" s="30">
        <f>HLOOKUP(mes_ano!$A$1,$H$4:$Q$176,E139,0)</f>
        <v>556.76</v>
      </c>
      <c r="H139" s="22">
        <v>379.91</v>
      </c>
      <c r="I139" s="36">
        <v>379.33</v>
      </c>
      <c r="J139" s="36">
        <v>433.46</v>
      </c>
      <c r="K139" s="36">
        <v>508.79</v>
      </c>
      <c r="L139" s="36">
        <v>556.76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ht="15">
      <c r="A140" s="22" t="str">
        <f t="shared" si="0"/>
        <v>8Despesas de manutenção de benfeitorias</v>
      </c>
      <c r="B140" s="22">
        <v>8</v>
      </c>
      <c r="C140" s="22">
        <v>1000</v>
      </c>
      <c r="D140" s="22" t="str">
        <f t="shared" si="1"/>
        <v>10008</v>
      </c>
      <c r="E140" s="22">
        <v>137</v>
      </c>
      <c r="F140" s="33" t="s">
        <v>12</v>
      </c>
      <c r="G140" s="30">
        <f>HLOOKUP(mes_ano!$A$1,$H$4:$Q$176,E140,0)</f>
        <v>42.83</v>
      </c>
      <c r="H140" s="22">
        <v>37.94</v>
      </c>
      <c r="I140" s="36">
        <v>38.46</v>
      </c>
      <c r="J140" s="36">
        <v>38.06</v>
      </c>
      <c r="K140" s="36">
        <v>39.32</v>
      </c>
      <c r="L140" s="36">
        <v>42.83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ht="15">
      <c r="A141" s="22" t="str">
        <f t="shared" si="0"/>
        <v>8Mão-de-obra temporária</v>
      </c>
      <c r="B141" s="22">
        <v>8</v>
      </c>
      <c r="C141" s="22">
        <v>1000</v>
      </c>
      <c r="D141" s="22" t="str">
        <f t="shared" si="1"/>
        <v>10008</v>
      </c>
      <c r="E141" s="22">
        <v>138</v>
      </c>
      <c r="F141" s="33" t="s">
        <v>14</v>
      </c>
      <c r="G141" s="30">
        <f>HLOOKUP(mes_ano!$A$1,$H$4:$Q$176,E141,0)</f>
        <v>48.8</v>
      </c>
      <c r="H141" s="22">
        <v>45.62</v>
      </c>
      <c r="I141" s="36">
        <v>45.62</v>
      </c>
      <c r="J141" s="36">
        <v>45.74</v>
      </c>
      <c r="K141" s="36">
        <v>46.22</v>
      </c>
      <c r="L141" s="36">
        <v>48.8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ht="15">
      <c r="A142" s="22" t="str">
        <f t="shared" si="0"/>
        <v>8Sementes/Manivas</v>
      </c>
      <c r="B142" s="22">
        <v>8</v>
      </c>
      <c r="C142" s="22">
        <v>1000</v>
      </c>
      <c r="D142" s="22" t="str">
        <f t="shared" si="1"/>
        <v>10008</v>
      </c>
      <c r="E142" s="22">
        <v>139</v>
      </c>
      <c r="F142" s="33" t="s">
        <v>16</v>
      </c>
      <c r="G142" s="30">
        <f>HLOOKUP(mes_ano!$A$1,$H$4:$Q$176,E142,0)</f>
        <v>712.8</v>
      </c>
      <c r="H142" s="22">
        <v>507.6</v>
      </c>
      <c r="I142" s="36">
        <v>520.2</v>
      </c>
      <c r="J142" s="36">
        <v>522</v>
      </c>
      <c r="K142" s="36">
        <v>502.8</v>
      </c>
      <c r="L142" s="36">
        <v>712.8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ht="15">
      <c r="A143" s="22" t="str">
        <f t="shared" si="0"/>
        <v>8Fertilizantes</v>
      </c>
      <c r="B143" s="22">
        <v>8</v>
      </c>
      <c r="C143" s="22">
        <v>1000</v>
      </c>
      <c r="D143" s="22" t="str">
        <f t="shared" si="1"/>
        <v>10008</v>
      </c>
      <c r="E143" s="22">
        <v>140</v>
      </c>
      <c r="F143" s="33" t="s">
        <v>18</v>
      </c>
      <c r="G143" s="30">
        <f>HLOOKUP(mes_ano!$A$1,$H$4:$Q$176,E143,0)</f>
        <v>854.94</v>
      </c>
      <c r="H143" s="22">
        <v>535.66</v>
      </c>
      <c r="I143" s="36">
        <v>578.34</v>
      </c>
      <c r="J143" s="36">
        <v>657.14</v>
      </c>
      <c r="K143" s="36">
        <v>748.8</v>
      </c>
      <c r="L143" s="36">
        <v>854.94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ht="15">
      <c r="A144" s="22" t="str">
        <f t="shared" si="0"/>
        <v>8Agrotóxicos</v>
      </c>
      <c r="B144" s="22">
        <v>8</v>
      </c>
      <c r="C144" s="22">
        <v>1000</v>
      </c>
      <c r="D144" s="22" t="str">
        <f t="shared" si="1"/>
        <v>10008</v>
      </c>
      <c r="E144" s="22">
        <v>141</v>
      </c>
      <c r="F144" s="33" t="s">
        <v>20</v>
      </c>
      <c r="G144" s="30">
        <f>HLOOKUP(mes_ano!$A$1,$H$4:$Q$176,E144,0)</f>
        <v>508.21</v>
      </c>
      <c r="H144" s="22">
        <v>430.27</v>
      </c>
      <c r="I144" s="36">
        <v>452</v>
      </c>
      <c r="J144" s="36">
        <v>454.08</v>
      </c>
      <c r="K144" s="36">
        <v>482.72</v>
      </c>
      <c r="L144" s="36">
        <v>508.21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 ht="15">
      <c r="A145" s="22" t="str">
        <f t="shared" si="0"/>
        <v>8Despesas gerais</v>
      </c>
      <c r="B145" s="22">
        <v>8</v>
      </c>
      <c r="C145" s="22">
        <v>1000</v>
      </c>
      <c r="D145" s="22" t="str">
        <f t="shared" si="1"/>
        <v>10008</v>
      </c>
      <c r="E145" s="22">
        <v>142</v>
      </c>
      <c r="F145" s="33" t="s">
        <v>22</v>
      </c>
      <c r="G145" s="30">
        <f>HLOOKUP(mes_ano!$A$1,$H$4:$Q$176,E145,0)</f>
        <v>51.61</v>
      </c>
      <c r="H145" s="22">
        <v>35.86</v>
      </c>
      <c r="I145" s="36">
        <v>37.4</v>
      </c>
      <c r="J145" s="36">
        <v>40.13</v>
      </c>
      <c r="K145" s="36">
        <v>46.57</v>
      </c>
      <c r="L145" s="36">
        <v>51.61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 ht="15">
      <c r="A146" s="22" t="str">
        <f t="shared" si="0"/>
        <v>8Transporte externo</v>
      </c>
      <c r="B146" s="22">
        <v>8</v>
      </c>
      <c r="C146" s="22">
        <v>1000</v>
      </c>
      <c r="D146" s="22" t="str">
        <f t="shared" si="1"/>
        <v>10008</v>
      </c>
      <c r="E146" s="22">
        <v>143</v>
      </c>
      <c r="F146" s="29" t="s">
        <v>24</v>
      </c>
      <c r="G146" s="30">
        <f>HLOOKUP(mes_ano!$A$1,$H$4:$Q$176,E146,0)</f>
        <v>157.3</v>
      </c>
      <c r="H146" s="22">
        <v>119.9</v>
      </c>
      <c r="I146" s="36">
        <v>122.65</v>
      </c>
      <c r="J146" s="36">
        <v>116.05</v>
      </c>
      <c r="K146" s="36">
        <v>122.1</v>
      </c>
      <c r="L146" s="36">
        <v>157.3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 ht="15">
      <c r="A147" s="22" t="str">
        <f t="shared" si="0"/>
        <v>8Assistência técnica</v>
      </c>
      <c r="B147" s="22">
        <v>8</v>
      </c>
      <c r="C147" s="22">
        <v>1000</v>
      </c>
      <c r="D147" s="22" t="str">
        <f t="shared" si="1"/>
        <v>10008</v>
      </c>
      <c r="E147" s="22">
        <v>144</v>
      </c>
      <c r="F147" s="33" t="s">
        <v>26</v>
      </c>
      <c r="G147" s="30">
        <f>HLOOKUP(mes_ano!$A$1,$H$4:$Q$176,E147,0)</f>
        <v>55.52</v>
      </c>
      <c r="H147" s="22">
        <v>39.46</v>
      </c>
      <c r="I147" s="36">
        <v>41.03</v>
      </c>
      <c r="J147" s="36">
        <v>43.81</v>
      </c>
      <c r="K147" s="36">
        <v>47.5</v>
      </c>
      <c r="L147" s="36">
        <v>55.52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ht="15">
      <c r="A148" s="22" t="str">
        <f t="shared" si="0"/>
        <v>8PROAGRO/SEGURO</v>
      </c>
      <c r="B148" s="22">
        <v>8</v>
      </c>
      <c r="C148" s="22">
        <v>1000</v>
      </c>
      <c r="D148" s="22" t="str">
        <f t="shared" si="1"/>
        <v>10008</v>
      </c>
      <c r="E148" s="22">
        <v>145</v>
      </c>
      <c r="F148" s="33" t="s">
        <v>28</v>
      </c>
      <c r="G148" s="30">
        <f>HLOOKUP(mes_ano!$A$1,$H$4:$Q$176,E148,0)</f>
        <v>81.73</v>
      </c>
      <c r="H148" s="22">
        <v>58.11</v>
      </c>
      <c r="I148" s="36">
        <v>60.42</v>
      </c>
      <c r="J148" s="36">
        <v>64.51</v>
      </c>
      <c r="K148" s="36">
        <v>69.86</v>
      </c>
      <c r="L148" s="36">
        <v>81.73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 ht="15">
      <c r="A149" s="22" t="str">
        <f t="shared" si="0"/>
        <v>8Juros</v>
      </c>
      <c r="B149" s="22">
        <v>8</v>
      </c>
      <c r="C149" s="22">
        <v>1000</v>
      </c>
      <c r="D149" s="22" t="str">
        <f t="shared" si="1"/>
        <v>10008</v>
      </c>
      <c r="E149" s="22">
        <v>146</v>
      </c>
      <c r="F149" s="33" t="s">
        <v>30</v>
      </c>
      <c r="G149" s="30">
        <f>HLOOKUP(mes_ano!$A$1,$H$4:$Q$176,E149,0)</f>
        <v>132.74</v>
      </c>
      <c r="H149" s="22">
        <v>90.68</v>
      </c>
      <c r="I149" s="36">
        <v>95.37</v>
      </c>
      <c r="J149" s="36">
        <v>101.71</v>
      </c>
      <c r="K149" s="36">
        <v>117.43</v>
      </c>
      <c r="L149" s="36">
        <v>132.74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 ht="15">
      <c r="A150" s="22" t="str">
        <f t="shared" si="0"/>
        <v>8Depreciação de máquinas e implementos</v>
      </c>
      <c r="B150" s="22">
        <v>8</v>
      </c>
      <c r="C150" s="22">
        <v>0</v>
      </c>
      <c r="D150" s="22" t="str">
        <f t="shared" si="1"/>
        <v>08</v>
      </c>
      <c r="E150" s="22">
        <v>147</v>
      </c>
      <c r="F150" s="33" t="s">
        <v>32</v>
      </c>
      <c r="G150" s="30">
        <f>HLOOKUP(mes_ano!$A$1,$H$4:$Q$176,E150,0)</f>
        <v>487.13</v>
      </c>
      <c r="H150" s="22">
        <v>318.74</v>
      </c>
      <c r="I150" s="36">
        <v>314.83</v>
      </c>
      <c r="J150" s="36">
        <v>364.41</v>
      </c>
      <c r="K150" s="36">
        <v>428.38</v>
      </c>
      <c r="L150" s="36">
        <v>487.13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1:31" ht="15">
      <c r="A151" s="22" t="str">
        <f t="shared" si="0"/>
        <v>8Depreciação de benfeitorias e instalações</v>
      </c>
      <c r="B151" s="22">
        <v>8</v>
      </c>
      <c r="C151" s="22">
        <v>0</v>
      </c>
      <c r="D151" s="22" t="str">
        <f t="shared" si="1"/>
        <v>08</v>
      </c>
      <c r="E151" s="22">
        <v>148</v>
      </c>
      <c r="F151" s="33" t="s">
        <v>33</v>
      </c>
      <c r="G151" s="30">
        <f>HLOOKUP(mes_ano!$A$1,$H$4:$Q$176,E151,0)</f>
        <v>57.11</v>
      </c>
      <c r="H151" s="22">
        <v>50.58</v>
      </c>
      <c r="I151" s="36">
        <v>51.28</v>
      </c>
      <c r="J151" s="36">
        <v>50.74</v>
      </c>
      <c r="K151" s="36">
        <v>52.43</v>
      </c>
      <c r="L151" s="36">
        <v>57.11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spans="1:31" ht="15">
      <c r="A152" s="22" t="str">
        <f t="shared" si="0"/>
        <v>8Sistematização e correção do solo</v>
      </c>
      <c r="B152" s="22">
        <v>8</v>
      </c>
      <c r="C152" s="22">
        <v>0</v>
      </c>
      <c r="D152" s="22" t="str">
        <f t="shared" si="1"/>
        <v>08</v>
      </c>
      <c r="E152" s="22">
        <v>149</v>
      </c>
      <c r="F152" s="33" t="s">
        <v>34</v>
      </c>
      <c r="G152" s="30">
        <f>HLOOKUP(mes_ano!$A$1,$H$4:$Q$176,E152,0)</f>
        <v>108.59</v>
      </c>
      <c r="H152" s="22">
        <v>85.79</v>
      </c>
      <c r="I152" s="36">
        <v>94.27</v>
      </c>
      <c r="J152" s="36">
        <v>92.69</v>
      </c>
      <c r="K152" s="36">
        <v>109.05</v>
      </c>
      <c r="L152" s="36">
        <v>108.59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spans="1:31" ht="15">
      <c r="A153" s="22" t="str">
        <f t="shared" si="0"/>
        <v>8Cultura</v>
      </c>
      <c r="B153" s="22">
        <v>8</v>
      </c>
      <c r="C153" s="22">
        <v>0</v>
      </c>
      <c r="D153" s="22" t="str">
        <f t="shared" si="1"/>
        <v>08</v>
      </c>
      <c r="E153" s="22">
        <v>150</v>
      </c>
      <c r="F153" s="33" t="s">
        <v>35</v>
      </c>
      <c r="G153" s="30" t="str">
        <f>HLOOKUP(mes_ano!$A$1,$H$4:$Q$176,E153,0)</f>
        <v>-</v>
      </c>
      <c r="H153" s="22" t="s">
        <v>54</v>
      </c>
      <c r="I153" s="36" t="s">
        <v>54</v>
      </c>
      <c r="J153" s="36" t="s">
        <v>54</v>
      </c>
      <c r="K153" s="36" t="s">
        <v>54</v>
      </c>
      <c r="L153" s="36" t="s">
        <v>54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1:31" ht="15">
      <c r="A154" s="22" t="str">
        <f t="shared" si="0"/>
        <v>8Seguro do capital</v>
      </c>
      <c r="B154" s="22">
        <v>8</v>
      </c>
      <c r="C154" s="22">
        <v>0</v>
      </c>
      <c r="D154" s="22" t="str">
        <f t="shared" si="1"/>
        <v>08</v>
      </c>
      <c r="E154" s="22">
        <v>151</v>
      </c>
      <c r="F154" s="33" t="s">
        <v>36</v>
      </c>
      <c r="G154" s="30">
        <f>HLOOKUP(mes_ano!$A$1,$H$4:$Q$176,E154,0)</f>
        <v>35.66</v>
      </c>
      <c r="H154" s="22">
        <v>26.86</v>
      </c>
      <c r="I154" s="36">
        <v>26.67</v>
      </c>
      <c r="J154" s="36">
        <v>28.88</v>
      </c>
      <c r="K154" s="36">
        <v>32.11</v>
      </c>
      <c r="L154" s="36">
        <v>35.66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 ht="15">
      <c r="A155" s="22" t="str">
        <f t="shared" si="0"/>
        <v>8Mão-de-obra permanente</v>
      </c>
      <c r="B155" s="22">
        <v>8</v>
      </c>
      <c r="C155" s="22">
        <v>0</v>
      </c>
      <c r="D155" s="22" t="str">
        <f t="shared" si="1"/>
        <v>08</v>
      </c>
      <c r="E155" s="22">
        <v>152</v>
      </c>
      <c r="F155" s="29" t="s">
        <v>37</v>
      </c>
      <c r="G155" s="30">
        <f>HLOOKUP(mes_ano!$A$1,$H$4:$Q$176,E155,0)</f>
        <v>236.4</v>
      </c>
      <c r="H155" s="22">
        <v>180.06</v>
      </c>
      <c r="I155" s="36">
        <v>184.34</v>
      </c>
      <c r="J155" s="36">
        <v>194.54</v>
      </c>
      <c r="K155" s="36">
        <v>207.7</v>
      </c>
      <c r="L155" s="36">
        <v>236.4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1:31" ht="15">
      <c r="A156" s="22" t="str">
        <f t="shared" si="0"/>
        <v>8Remuneração do Capital próprio</v>
      </c>
      <c r="B156" s="22">
        <v>8</v>
      </c>
      <c r="C156" s="22">
        <v>0</v>
      </c>
      <c r="D156" s="22" t="str">
        <f t="shared" si="1"/>
        <v>08</v>
      </c>
      <c r="E156" s="22">
        <v>153</v>
      </c>
      <c r="F156" s="33" t="s">
        <v>39</v>
      </c>
      <c r="G156" s="30">
        <f>HLOOKUP(mes_ano!$A$1,$H$4:$Q$176,E156,0)</f>
        <v>330.77</v>
      </c>
      <c r="H156" s="22">
        <v>236.24</v>
      </c>
      <c r="I156" s="36">
        <v>232.88</v>
      </c>
      <c r="J156" s="36">
        <v>260.35</v>
      </c>
      <c r="K156" s="36">
        <v>296.15</v>
      </c>
      <c r="L156" s="36">
        <v>330.77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1:31" ht="15">
      <c r="A157" s="22" t="str">
        <f t="shared" si="0"/>
        <v>8Remuneração da terra</v>
      </c>
      <c r="B157" s="22">
        <v>8</v>
      </c>
      <c r="C157" s="22">
        <v>0</v>
      </c>
      <c r="D157" s="22" t="str">
        <f t="shared" si="1"/>
        <v>08</v>
      </c>
      <c r="E157" s="22">
        <v>154</v>
      </c>
      <c r="F157" s="33" t="s">
        <v>40</v>
      </c>
      <c r="G157" s="30">
        <f>HLOOKUP(mes_ano!$A$1,$H$4:$Q$176,E157,0)</f>
        <v>1045.55</v>
      </c>
      <c r="H157" s="22">
        <v>691.08</v>
      </c>
      <c r="I157" s="36">
        <v>711.13</v>
      </c>
      <c r="J157" s="36">
        <v>750.23</v>
      </c>
      <c r="K157" s="36">
        <v>1068.23</v>
      </c>
      <c r="L157" s="36">
        <v>1045.55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1:31" ht="15">
      <c r="A158" s="22" t="str">
        <f t="shared" si="0"/>
        <v>9Operação de máquinas e implementos</v>
      </c>
      <c r="B158" s="22">
        <v>9</v>
      </c>
      <c r="C158" s="22">
        <v>1000</v>
      </c>
      <c r="D158" s="22" t="str">
        <f t="shared" si="1"/>
        <v>10009</v>
      </c>
      <c r="E158" s="22">
        <v>155</v>
      </c>
      <c r="F158" s="29" t="s">
        <v>10</v>
      </c>
      <c r="G158" s="30">
        <f>HLOOKUP(mes_ano!$A$1,$H$4:$Q$176,E158,0)</f>
        <v>600.06</v>
      </c>
      <c r="H158" s="22">
        <v>408.71</v>
      </c>
      <c r="I158" s="36">
        <v>406.75</v>
      </c>
      <c r="J158" s="36">
        <v>472.38</v>
      </c>
      <c r="K158" s="36">
        <v>556.47</v>
      </c>
      <c r="L158" s="36">
        <v>600.06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 ht="15">
      <c r="A159" s="22" t="str">
        <f t="shared" si="0"/>
        <v>9Despesas de manutenção de benfeitorias</v>
      </c>
      <c r="B159" s="22">
        <v>9</v>
      </c>
      <c r="C159" s="22">
        <v>1000</v>
      </c>
      <c r="D159" s="22" t="str">
        <f t="shared" si="1"/>
        <v>10009</v>
      </c>
      <c r="E159" s="22">
        <v>156</v>
      </c>
      <c r="F159" s="33" t="s">
        <v>12</v>
      </c>
      <c r="G159" s="30">
        <f>HLOOKUP(mes_ano!$A$1,$H$4:$Q$176,E159,0)</f>
        <v>29.5</v>
      </c>
      <c r="H159" s="22">
        <v>26.01</v>
      </c>
      <c r="I159" s="36">
        <v>26.01</v>
      </c>
      <c r="J159" s="36">
        <v>26.14</v>
      </c>
      <c r="K159" s="36">
        <v>27.23</v>
      </c>
      <c r="L159" s="36">
        <v>29.5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1:31" ht="15">
      <c r="A160" s="22" t="str">
        <f t="shared" si="0"/>
        <v>9Mão-de-obra temporária</v>
      </c>
      <c r="B160" s="22">
        <v>9</v>
      </c>
      <c r="C160" s="22">
        <v>1000</v>
      </c>
      <c r="D160" s="22" t="str">
        <f t="shared" si="1"/>
        <v>10009</v>
      </c>
      <c r="E160" s="22">
        <v>157</v>
      </c>
      <c r="F160" s="33" t="s">
        <v>14</v>
      </c>
      <c r="G160" s="30">
        <f>HLOOKUP(mes_ano!$A$1,$H$4:$Q$176,E160,0)</f>
        <v>54.16</v>
      </c>
      <c r="H160" s="22">
        <v>50.59</v>
      </c>
      <c r="I160" s="36">
        <v>50.57</v>
      </c>
      <c r="J160" s="36">
        <v>50.7</v>
      </c>
      <c r="K160" s="36">
        <v>51.26</v>
      </c>
      <c r="L160" s="36">
        <v>54.16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1:31" ht="15">
      <c r="A161" s="22" t="str">
        <f t="shared" si="0"/>
        <v>9Sementes/Manivas</v>
      </c>
      <c r="B161" s="22">
        <v>9</v>
      </c>
      <c r="C161" s="22">
        <v>1000</v>
      </c>
      <c r="D161" s="22" t="str">
        <f t="shared" si="1"/>
        <v>10009</v>
      </c>
      <c r="E161" s="22">
        <v>158</v>
      </c>
      <c r="F161" s="33" t="s">
        <v>16</v>
      </c>
      <c r="G161" s="30">
        <f>HLOOKUP(mes_ano!$A$1,$H$4:$Q$176,E161,0)</f>
        <v>427.5</v>
      </c>
      <c r="H161" s="22">
        <v>289.5</v>
      </c>
      <c r="I161" s="36">
        <v>339</v>
      </c>
      <c r="J161" s="36">
        <v>402</v>
      </c>
      <c r="K161" s="36">
        <v>432</v>
      </c>
      <c r="L161" s="36">
        <v>427.5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1:31" ht="15">
      <c r="A162" s="22" t="str">
        <f t="shared" si="0"/>
        <v>9Fertilizantes</v>
      </c>
      <c r="B162" s="22">
        <v>9</v>
      </c>
      <c r="C162" s="22">
        <v>1000</v>
      </c>
      <c r="D162" s="22" t="str">
        <f t="shared" si="1"/>
        <v>10009</v>
      </c>
      <c r="E162" s="22">
        <v>159</v>
      </c>
      <c r="F162" s="33" t="s">
        <v>18</v>
      </c>
      <c r="G162" s="30">
        <f>HLOOKUP(mes_ano!$A$1,$H$4:$Q$176,E162,0)</f>
        <v>1444</v>
      </c>
      <c r="H162" s="22">
        <v>782</v>
      </c>
      <c r="I162" s="36">
        <v>840</v>
      </c>
      <c r="J162" s="36">
        <v>981</v>
      </c>
      <c r="K162" s="36">
        <v>1153</v>
      </c>
      <c r="L162" s="36">
        <v>1444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spans="1:31" ht="15">
      <c r="A163" s="22" t="str">
        <f t="shared" si="0"/>
        <v>9Agrotóxicos</v>
      </c>
      <c r="B163" s="22">
        <v>9</v>
      </c>
      <c r="C163" s="22">
        <v>1000</v>
      </c>
      <c r="D163" s="22" t="str">
        <f t="shared" si="1"/>
        <v>10009</v>
      </c>
      <c r="E163" s="22">
        <v>160</v>
      </c>
      <c r="F163" s="33" t="s">
        <v>20</v>
      </c>
      <c r="G163" s="30">
        <f>HLOOKUP(mes_ano!$A$1,$H$4:$Q$176,E163,0)</f>
        <v>485.77</v>
      </c>
      <c r="H163" s="22">
        <v>434.29</v>
      </c>
      <c r="I163" s="36">
        <v>449.38</v>
      </c>
      <c r="J163" s="36">
        <v>452.67</v>
      </c>
      <c r="K163" s="36">
        <v>461.01</v>
      </c>
      <c r="L163" s="36">
        <v>485.77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spans="1:31" ht="15">
      <c r="A164" s="22" t="str">
        <f t="shared" si="0"/>
        <v>9Despesas gerais</v>
      </c>
      <c r="B164" s="22">
        <v>9</v>
      </c>
      <c r="C164" s="22">
        <v>1000</v>
      </c>
      <c r="D164" s="22" t="str">
        <f t="shared" si="1"/>
        <v>10009</v>
      </c>
      <c r="E164" s="22">
        <v>161</v>
      </c>
      <c r="F164" s="33" t="s">
        <v>22</v>
      </c>
      <c r="G164" s="30">
        <f>HLOOKUP(mes_ano!$A$1,$H$4:$Q$176,E164,0)</f>
        <v>60.82</v>
      </c>
      <c r="H164" s="22">
        <v>39.82</v>
      </c>
      <c r="I164" s="36">
        <v>42.23</v>
      </c>
      <c r="J164" s="36">
        <v>47.7</v>
      </c>
      <c r="K164" s="36">
        <v>53.62</v>
      </c>
      <c r="L164" s="36">
        <v>60.82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spans="1:31" ht="15">
      <c r="A165" s="22" t="str">
        <f t="shared" si="0"/>
        <v>9Transporte externo</v>
      </c>
      <c r="B165" s="22">
        <v>9</v>
      </c>
      <c r="C165" s="22">
        <v>1000</v>
      </c>
      <c r="D165" s="22" t="str">
        <f t="shared" si="1"/>
        <v>10009</v>
      </c>
      <c r="E165" s="22">
        <v>162</v>
      </c>
      <c r="F165" s="29" t="s">
        <v>24</v>
      </c>
      <c r="G165" s="30">
        <f>HLOOKUP(mes_ano!$A$1,$H$4:$Q$176,E165,0)</f>
        <v>137.28</v>
      </c>
      <c r="H165" s="22">
        <v>104.64</v>
      </c>
      <c r="I165" s="36">
        <v>107.04</v>
      </c>
      <c r="J165" s="36">
        <v>101.28</v>
      </c>
      <c r="K165" s="36">
        <v>106.56</v>
      </c>
      <c r="L165" s="36">
        <v>137.28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1:31" ht="15">
      <c r="A166" s="22" t="str">
        <f t="shared" si="0"/>
        <v>9Assistência técnica</v>
      </c>
      <c r="B166" s="22">
        <v>9</v>
      </c>
      <c r="C166" s="22">
        <v>1000</v>
      </c>
      <c r="D166" s="22" t="str">
        <f t="shared" si="1"/>
        <v>10009</v>
      </c>
      <c r="E166" s="22">
        <v>163</v>
      </c>
      <c r="F166" s="33" t="s">
        <v>26</v>
      </c>
      <c r="G166" s="30">
        <f>HLOOKUP(mes_ano!$A$1,$H$4:$Q$176,E166,0)</f>
        <v>62.04</v>
      </c>
      <c r="H166" s="22">
        <v>40.62</v>
      </c>
      <c r="I166" s="36">
        <v>43.08</v>
      </c>
      <c r="J166" s="36">
        <v>48.65</v>
      </c>
      <c r="K166" s="36">
        <v>54.69</v>
      </c>
      <c r="L166" s="36">
        <v>62.04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 ht="15">
      <c r="A167" s="22" t="str">
        <f t="shared" si="0"/>
        <v>9PROAGRO/SEGURO</v>
      </c>
      <c r="B167" s="22">
        <v>9</v>
      </c>
      <c r="C167" s="22">
        <v>1000</v>
      </c>
      <c r="D167" s="22" t="str">
        <f t="shared" si="1"/>
        <v>10009</v>
      </c>
      <c r="E167" s="22">
        <v>164</v>
      </c>
      <c r="F167" s="33" t="s">
        <v>28</v>
      </c>
      <c r="G167" s="30">
        <f>HLOOKUP(mes_ano!$A$1,$H$4:$Q$176,E167,0)</f>
        <v>91.23</v>
      </c>
      <c r="H167" s="22">
        <v>59.73</v>
      </c>
      <c r="I167" s="36">
        <v>63.35</v>
      </c>
      <c r="J167" s="36">
        <v>71.55</v>
      </c>
      <c r="K167" s="36">
        <v>80.43</v>
      </c>
      <c r="L167" s="36">
        <v>91.23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 ht="15">
      <c r="A168" s="22" t="str">
        <f t="shared" si="0"/>
        <v>9Juros</v>
      </c>
      <c r="B168" s="22">
        <v>9</v>
      </c>
      <c r="C168" s="22">
        <v>1000</v>
      </c>
      <c r="D168" s="22" t="str">
        <f t="shared" si="1"/>
        <v>10009</v>
      </c>
      <c r="E168" s="22">
        <v>165</v>
      </c>
      <c r="F168" s="33" t="s">
        <v>30</v>
      </c>
      <c r="G168" s="30">
        <f>HLOOKUP(mes_ano!$A$1,$H$4:$Q$176,E168,0)</f>
        <v>111.7</v>
      </c>
      <c r="H168" s="22">
        <v>72.77</v>
      </c>
      <c r="I168" s="36">
        <v>77.86</v>
      </c>
      <c r="J168" s="36">
        <v>87.55</v>
      </c>
      <c r="K168" s="36">
        <v>97.98</v>
      </c>
      <c r="L168" s="36">
        <v>111.7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1:31" ht="15">
      <c r="A169" s="22" t="str">
        <f t="shared" si="0"/>
        <v>9Depreciação de máquinas e implementos</v>
      </c>
      <c r="B169" s="22">
        <v>9</v>
      </c>
      <c r="C169" s="22">
        <v>0</v>
      </c>
      <c r="D169" s="22" t="str">
        <f t="shared" si="1"/>
        <v>09</v>
      </c>
      <c r="E169" s="22">
        <v>166</v>
      </c>
      <c r="F169" s="33" t="s">
        <v>32</v>
      </c>
      <c r="G169" s="30">
        <f>HLOOKUP(mes_ano!$A$1,$H$4:$Q$176,E169,0)</f>
        <v>546.33</v>
      </c>
      <c r="H169" s="22">
        <v>360.27</v>
      </c>
      <c r="I169" s="36">
        <v>356.58</v>
      </c>
      <c r="J169" s="36">
        <v>419.72</v>
      </c>
      <c r="K169" s="36">
        <v>493.87</v>
      </c>
      <c r="L169" s="36">
        <v>546.33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 ht="15">
      <c r="A170" s="22" t="str">
        <f t="shared" si="0"/>
        <v>9Depreciação de benfeitorias e instalações</v>
      </c>
      <c r="B170" s="22">
        <v>9</v>
      </c>
      <c r="C170" s="22">
        <v>0</v>
      </c>
      <c r="D170" s="22" t="str">
        <f t="shared" si="1"/>
        <v>09</v>
      </c>
      <c r="E170" s="22">
        <v>167</v>
      </c>
      <c r="F170" s="33" t="s">
        <v>33</v>
      </c>
      <c r="G170" s="30">
        <f>HLOOKUP(mes_ano!$A$1,$H$4:$Q$176,E170,0)</f>
        <v>39.33</v>
      </c>
      <c r="H170" s="22">
        <v>34.67</v>
      </c>
      <c r="I170" s="36">
        <v>34.68</v>
      </c>
      <c r="J170" s="36">
        <v>34.85</v>
      </c>
      <c r="K170" s="36">
        <v>36.31</v>
      </c>
      <c r="L170" s="36">
        <v>39.33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 ht="15">
      <c r="A171" s="22" t="str">
        <f t="shared" si="0"/>
        <v>9Sistematização e correção do solo</v>
      </c>
      <c r="B171" s="22">
        <v>9</v>
      </c>
      <c r="C171" s="22">
        <v>0</v>
      </c>
      <c r="D171" s="22" t="str">
        <f t="shared" si="1"/>
        <v>09</v>
      </c>
      <c r="E171" s="22">
        <v>168</v>
      </c>
      <c r="F171" s="33" t="s">
        <v>34</v>
      </c>
      <c r="G171" s="30">
        <f>HLOOKUP(mes_ano!$A$1,$H$4:$Q$176,E171,0)</f>
        <v>108.59</v>
      </c>
      <c r="H171" s="22">
        <v>85.79</v>
      </c>
      <c r="I171" s="36">
        <v>94.27</v>
      </c>
      <c r="J171" s="36">
        <v>92.69</v>
      </c>
      <c r="K171" s="36">
        <v>109.05</v>
      </c>
      <c r="L171" s="36">
        <v>108.59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 ht="15">
      <c r="A172" s="22" t="str">
        <f t="shared" si="0"/>
        <v>9Cultura</v>
      </c>
      <c r="B172" s="22">
        <v>9</v>
      </c>
      <c r="C172" s="22">
        <v>0</v>
      </c>
      <c r="D172" s="22" t="str">
        <f t="shared" si="1"/>
        <v>09</v>
      </c>
      <c r="E172" s="22">
        <v>169</v>
      </c>
      <c r="F172" s="33" t="s">
        <v>35</v>
      </c>
      <c r="G172" s="30" t="str">
        <f>HLOOKUP(mes_ano!$A$1,$H$4:$Q$176,E172,0)</f>
        <v>-</v>
      </c>
      <c r="H172" s="22" t="s">
        <v>54</v>
      </c>
      <c r="I172" s="36" t="s">
        <v>54</v>
      </c>
      <c r="J172" s="36" t="s">
        <v>54</v>
      </c>
      <c r="K172" s="36" t="s">
        <v>54</v>
      </c>
      <c r="L172" s="36" t="s">
        <v>54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 ht="15">
      <c r="A173" s="22" t="str">
        <f t="shared" si="0"/>
        <v>9Seguro do capital</v>
      </c>
      <c r="B173" s="22">
        <v>9</v>
      </c>
      <c r="C173" s="22">
        <v>0</v>
      </c>
      <c r="D173" s="22" t="str">
        <f t="shared" si="1"/>
        <v>09</v>
      </c>
      <c r="E173" s="22">
        <v>170</v>
      </c>
      <c r="F173" s="33" t="s">
        <v>36</v>
      </c>
      <c r="G173" s="30">
        <f>HLOOKUP(mes_ano!$A$1,$H$4:$Q$176,E173,0)</f>
        <v>34.79</v>
      </c>
      <c r="H173" s="22">
        <v>25.33</v>
      </c>
      <c r="I173" s="36">
        <v>24.92</v>
      </c>
      <c r="J173" s="36">
        <v>27.96</v>
      </c>
      <c r="K173" s="36">
        <v>31.71</v>
      </c>
      <c r="L173" s="36">
        <v>34.79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1:31" ht="15">
      <c r="A174" s="22" t="str">
        <f t="shared" si="0"/>
        <v>9Mão-de-obra permanente</v>
      </c>
      <c r="B174" s="22">
        <v>9</v>
      </c>
      <c r="C174" s="22">
        <v>0</v>
      </c>
      <c r="D174" s="22" t="str">
        <f t="shared" si="1"/>
        <v>09</v>
      </c>
      <c r="E174" s="22">
        <v>171</v>
      </c>
      <c r="F174" s="29" t="s">
        <v>37</v>
      </c>
      <c r="G174" s="30">
        <f>HLOOKUP(mes_ano!$A$1,$H$4:$Q$176,E174,0)</f>
        <v>259.34</v>
      </c>
      <c r="H174" s="22">
        <v>186.5</v>
      </c>
      <c r="I174" s="36">
        <v>193.47</v>
      </c>
      <c r="J174" s="36">
        <v>212.87</v>
      </c>
      <c r="K174" s="36">
        <v>233.07</v>
      </c>
      <c r="L174" s="36">
        <v>259.34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1:31" ht="15">
      <c r="A175" s="22" t="str">
        <f t="shared" si="0"/>
        <v>9Remuneração do Capital próprio</v>
      </c>
      <c r="B175" s="22">
        <v>9</v>
      </c>
      <c r="C175" s="22">
        <v>0</v>
      </c>
      <c r="D175" s="22" t="str">
        <f t="shared" si="1"/>
        <v>09</v>
      </c>
      <c r="E175" s="22">
        <v>172</v>
      </c>
      <c r="F175" s="33" t="s">
        <v>39</v>
      </c>
      <c r="G175" s="30">
        <f>HLOOKUP(mes_ano!$A$1,$H$4:$Q$176,E175,0)</f>
        <v>350.54</v>
      </c>
      <c r="H175" s="22">
        <v>244.86</v>
      </c>
      <c r="I175" s="36">
        <v>239.9</v>
      </c>
      <c r="J175" s="36">
        <v>276.24</v>
      </c>
      <c r="K175" s="36">
        <v>318.68</v>
      </c>
      <c r="L175" s="36">
        <v>350.54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1:31" ht="15">
      <c r="A176" s="22" t="str">
        <f t="shared" si="0"/>
        <v>9Remuneração da terra</v>
      </c>
      <c r="B176" s="22">
        <v>9</v>
      </c>
      <c r="C176" s="22">
        <v>0</v>
      </c>
      <c r="D176" s="22" t="str">
        <f t="shared" si="1"/>
        <v>09</v>
      </c>
      <c r="E176" s="22">
        <v>173</v>
      </c>
      <c r="F176" s="33" t="s">
        <v>40</v>
      </c>
      <c r="G176" s="30">
        <f>HLOOKUP(mes_ano!$A$1,$H$4:$Q$176,E176,0)</f>
        <v>1045.55</v>
      </c>
      <c r="H176" s="22">
        <v>691.08</v>
      </c>
      <c r="I176" s="36">
        <v>711.13</v>
      </c>
      <c r="J176" s="36">
        <v>750.23</v>
      </c>
      <c r="K176" s="36">
        <v>1068.23</v>
      </c>
      <c r="L176" s="36">
        <v>1045.55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sheetProtection selectLockedCells="1" selectUnlockedCells="1"/>
  <conditionalFormatting sqref="F6:F19 F25:F38 F44:F57 F101:F114 F120:F133 F139:F152 F158:F171 F63:F76 F82:F9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7">
      <selection activeCell="C60" activeCellId="1" sqref="M1:N16384 C60"/>
    </sheetView>
  </sheetViews>
  <sheetFormatPr defaultColWidth="9.140625" defaultRowHeight="12.75"/>
  <cols>
    <col min="2" max="2" width="9.140625" style="28" customWidth="1"/>
  </cols>
  <sheetData>
    <row r="1" spans="1:3" ht="12.75">
      <c r="A1">
        <v>5</v>
      </c>
      <c r="B1" s="40"/>
      <c r="C1" s="40"/>
    </row>
    <row r="2" spans="1:2" ht="12.75">
      <c r="A2">
        <v>1</v>
      </c>
      <c r="B2" s="41">
        <f>so_a_base!H5</f>
        <v>44044</v>
      </c>
    </row>
    <row r="3" spans="1:2" ht="12.75">
      <c r="A3">
        <v>2</v>
      </c>
      <c r="B3" s="41">
        <f>so_a_base!I5</f>
        <v>44136</v>
      </c>
    </row>
    <row r="4" spans="1:2" ht="12.75">
      <c r="A4">
        <v>3</v>
      </c>
      <c r="B4" s="41">
        <f>so_a_base!J5</f>
        <v>44228</v>
      </c>
    </row>
    <row r="5" spans="1:2" ht="12.75">
      <c r="A5">
        <v>4</v>
      </c>
      <c r="B5" s="41">
        <f>so_a_base!K5</f>
        <v>44317</v>
      </c>
    </row>
    <row r="6" spans="1:2" ht="12.75">
      <c r="A6">
        <v>5</v>
      </c>
      <c r="B6" s="28">
        <f>so_a_base!L5</f>
        <v>44409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C60" activeCellId="1" sqref="M1:N16384 C60"/>
    </sheetView>
  </sheetViews>
  <sheetFormatPr defaultColWidth="9.140625" defaultRowHeight="12.75"/>
  <cols>
    <col min="2" max="2" width="33.8515625" style="0" customWidth="1"/>
    <col min="3" max="3" width="16.00390625" style="0" customWidth="1"/>
  </cols>
  <sheetData>
    <row r="1" spans="1:6" ht="12.75">
      <c r="A1">
        <v>8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 ht="12.75">
      <c r="A2">
        <v>1</v>
      </c>
      <c r="B2" s="22" t="s">
        <v>60</v>
      </c>
      <c r="C2">
        <v>40</v>
      </c>
      <c r="D2" t="s">
        <v>61</v>
      </c>
      <c r="E2" t="s">
        <v>62</v>
      </c>
      <c r="F2" s="42"/>
    </row>
    <row r="3" spans="1:6" ht="12.75">
      <c r="A3">
        <v>2</v>
      </c>
      <c r="B3" s="22" t="s">
        <v>63</v>
      </c>
      <c r="C3">
        <v>30</v>
      </c>
      <c r="D3" t="s">
        <v>61</v>
      </c>
      <c r="E3" t="s">
        <v>62</v>
      </c>
      <c r="F3" s="42"/>
    </row>
    <row r="4" spans="1:6" ht="12.75">
      <c r="A4">
        <v>3</v>
      </c>
      <c r="B4" s="22" t="s">
        <v>64</v>
      </c>
      <c r="C4">
        <v>34</v>
      </c>
      <c r="D4" t="s">
        <v>61</v>
      </c>
      <c r="E4" t="s">
        <v>62</v>
      </c>
      <c r="F4" s="22" t="s">
        <v>65</v>
      </c>
    </row>
    <row r="5" spans="1:6" ht="12.75">
      <c r="A5">
        <v>4</v>
      </c>
      <c r="B5" s="22" t="s">
        <v>66</v>
      </c>
      <c r="C5">
        <v>22</v>
      </c>
      <c r="D5" t="s">
        <v>67</v>
      </c>
      <c r="E5" t="s">
        <v>68</v>
      </c>
      <c r="F5" s="22"/>
    </row>
    <row r="6" spans="1:6" ht="12.75">
      <c r="A6">
        <v>5</v>
      </c>
      <c r="B6" s="22" t="s">
        <v>69</v>
      </c>
      <c r="C6">
        <v>33</v>
      </c>
      <c r="D6" t="s">
        <v>67</v>
      </c>
      <c r="E6" t="s">
        <v>68</v>
      </c>
      <c r="F6" s="43"/>
    </row>
    <row r="7" spans="1:6" ht="12.75">
      <c r="A7">
        <v>6</v>
      </c>
      <c r="B7" s="22" t="s">
        <v>70</v>
      </c>
      <c r="C7">
        <v>140</v>
      </c>
      <c r="D7" t="s">
        <v>61</v>
      </c>
      <c r="E7" t="s">
        <v>62</v>
      </c>
      <c r="F7" s="22" t="s">
        <v>65</v>
      </c>
    </row>
    <row r="8" spans="1:6" ht="12.75">
      <c r="A8">
        <v>7</v>
      </c>
      <c r="B8" s="22" t="s">
        <v>71</v>
      </c>
      <c r="C8">
        <v>80</v>
      </c>
      <c r="D8" t="s">
        <v>61</v>
      </c>
      <c r="E8" t="s">
        <v>62</v>
      </c>
      <c r="F8" s="22" t="s">
        <v>65</v>
      </c>
    </row>
    <row r="9" spans="1:6" ht="12.75">
      <c r="A9">
        <v>8</v>
      </c>
      <c r="B9" s="22" t="s">
        <v>72</v>
      </c>
      <c r="C9">
        <v>55</v>
      </c>
      <c r="D9" t="s">
        <v>61</v>
      </c>
      <c r="E9" t="s">
        <v>62</v>
      </c>
      <c r="F9" s="22" t="s">
        <v>65</v>
      </c>
    </row>
    <row r="10" spans="1:6" ht="12.75">
      <c r="A10">
        <v>9</v>
      </c>
      <c r="B10" s="22" t="s">
        <v>73</v>
      </c>
      <c r="C10">
        <v>48</v>
      </c>
      <c r="D10" t="s">
        <v>61</v>
      </c>
      <c r="E10" t="s">
        <v>62</v>
      </c>
      <c r="F10" s="22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1:J31"/>
  <sheetViews>
    <sheetView showGridLines="0" zoomScale="70" zoomScaleNormal="70" zoomScalePageLayoutView="0" workbookViewId="0" topLeftCell="A1">
      <selection activeCell="G60" sqref="G60"/>
    </sheetView>
  </sheetViews>
  <sheetFormatPr defaultColWidth="9.140625" defaultRowHeight="12.75"/>
  <cols>
    <col min="1" max="7" width="9.140625" style="1" customWidth="1"/>
    <col min="8" max="8" width="37.28125" style="1" customWidth="1"/>
    <col min="9" max="16384" width="9.140625" style="1" customWidth="1"/>
  </cols>
  <sheetData>
    <row r="2" ht="12.75" customHeight="1"/>
    <row r="9" ht="22.5" customHeight="1"/>
    <row r="10" ht="9" customHeight="1"/>
    <row r="11" spans="8:9" ht="12.75">
      <c r="H11" s="1" t="s">
        <v>74</v>
      </c>
      <c r="I11" s="1">
        <f>1-I17</f>
        <v>0.3317661165057364</v>
      </c>
    </row>
    <row r="12" spans="1:10" ht="12.75">
      <c r="A12" s="7">
        <f>resumo!C14</f>
        <v>556.76</v>
      </c>
      <c r="B12" s="1">
        <f aca="true" t="shared" si="0" ref="B12:B30">IF(A12="-",0,A12)</f>
        <v>556.76</v>
      </c>
      <c r="C12" s="1">
        <f aca="true" t="shared" si="1" ref="C12:C30">RANK(B12,$E$12:$E$30,0)</f>
        <v>4</v>
      </c>
      <c r="D12" s="1" t="s">
        <v>10</v>
      </c>
      <c r="E12" s="1">
        <f aca="true" t="shared" si="2" ref="E12:E30">IF(D12="-",0,B12)</f>
        <v>556.76</v>
      </c>
      <c r="G12" s="1">
        <v>1</v>
      </c>
      <c r="H12" s="1" t="str">
        <f>VLOOKUP(G12,$C$12:$E$30,2,0)</f>
        <v>Remuneração da terra</v>
      </c>
      <c r="I12" s="1">
        <f>J12/$A$31</f>
        <v>0.18994631616237764</v>
      </c>
      <c r="J12" s="1">
        <f>VLOOKUP(G12,$C$12:$E$30,3,0)</f>
        <v>1045.55</v>
      </c>
    </row>
    <row r="13" spans="1:10" ht="12.75">
      <c r="A13" s="7">
        <f>resumo!C15</f>
        <v>42.83</v>
      </c>
      <c r="B13" s="1">
        <f t="shared" si="0"/>
        <v>42.83</v>
      </c>
      <c r="C13" s="1">
        <f t="shared" si="1"/>
        <v>17</v>
      </c>
      <c r="D13" s="1" t="s">
        <v>12</v>
      </c>
      <c r="E13" s="1">
        <f t="shared" si="2"/>
        <v>42.83</v>
      </c>
      <c r="G13" s="1">
        <v>2</v>
      </c>
      <c r="H13" s="1" t="str">
        <f>VLOOKUP(G13,$C$12:$E$30,2,0)</f>
        <v>Fertilizantes</v>
      </c>
      <c r="I13" s="1">
        <f>J13/$A$31</f>
        <v>0.15531797000608594</v>
      </c>
      <c r="J13" s="1">
        <f>VLOOKUP(G13,$C$12:$E$30,3,0)</f>
        <v>854.94</v>
      </c>
    </row>
    <row r="14" spans="1:10" ht="12.75">
      <c r="A14" s="7">
        <f>resumo!C16</f>
        <v>48.8</v>
      </c>
      <c r="B14" s="1">
        <f t="shared" si="0"/>
        <v>48.8</v>
      </c>
      <c r="C14" s="1">
        <f t="shared" si="1"/>
        <v>16</v>
      </c>
      <c r="D14" s="1" t="s">
        <v>14</v>
      </c>
      <c r="E14" s="1">
        <f t="shared" si="2"/>
        <v>48.8</v>
      </c>
      <c r="G14" s="1">
        <v>3</v>
      </c>
      <c r="H14" s="1" t="str">
        <f>VLOOKUP(G14,$C$12:$E$30,2,0)</f>
        <v>Sementes/Manivas</v>
      </c>
      <c r="I14" s="1">
        <f>J14/$A$31</f>
        <v>0.1294952265893958</v>
      </c>
      <c r="J14" s="1">
        <f>VLOOKUP(G14,$C$12:$E$30,3,0)</f>
        <v>712.8</v>
      </c>
    </row>
    <row r="15" spans="1:10" ht="12.75">
      <c r="A15" s="7">
        <f>resumo!C17</f>
        <v>712.8</v>
      </c>
      <c r="B15" s="1">
        <f t="shared" si="0"/>
        <v>712.8</v>
      </c>
      <c r="C15" s="1">
        <f t="shared" si="1"/>
        <v>3</v>
      </c>
      <c r="D15" s="1" t="s">
        <v>16</v>
      </c>
      <c r="E15" s="1">
        <f t="shared" si="2"/>
        <v>712.8</v>
      </c>
      <c r="G15" s="1">
        <v>4</v>
      </c>
      <c r="H15" s="1" t="str">
        <f>VLOOKUP(G15,$C$12:$E$30,2,0)</f>
        <v>Operação de máquinas e implementos</v>
      </c>
      <c r="I15" s="1">
        <f>J15/$A$31</f>
        <v>0.10114725358573515</v>
      </c>
      <c r="J15" s="1">
        <f>VLOOKUP(G15,$C$12:$E$30,3,0)</f>
        <v>556.76</v>
      </c>
    </row>
    <row r="16" spans="1:10" ht="12.75">
      <c r="A16" s="7">
        <f>resumo!C18</f>
        <v>854.94</v>
      </c>
      <c r="B16" s="1">
        <f t="shared" si="0"/>
        <v>854.94</v>
      </c>
      <c r="C16" s="1">
        <f t="shared" si="1"/>
        <v>2</v>
      </c>
      <c r="D16" s="1" t="s">
        <v>18</v>
      </c>
      <c r="E16" s="1">
        <f t="shared" si="2"/>
        <v>854.94</v>
      </c>
      <c r="G16" s="1">
        <v>5</v>
      </c>
      <c r="H16" s="1" t="str">
        <f>VLOOKUP(G16,$C$12:$E$30,2,0)</f>
        <v>Agrotóxicos</v>
      </c>
      <c r="I16" s="1">
        <f>J16/$A$31</f>
        <v>0.09232711715066898</v>
      </c>
      <c r="J16" s="1">
        <f>VLOOKUP(G16,$C$12:$E$30,3,0)</f>
        <v>508.21</v>
      </c>
    </row>
    <row r="17" spans="1:9" ht="12.75">
      <c r="A17" s="7">
        <f>resumo!C19</f>
        <v>508.21</v>
      </c>
      <c r="B17" s="1">
        <f t="shared" si="0"/>
        <v>508.21</v>
      </c>
      <c r="C17" s="1">
        <f t="shared" si="1"/>
        <v>5</v>
      </c>
      <c r="D17" s="1" t="s">
        <v>20</v>
      </c>
      <c r="E17" s="1">
        <f t="shared" si="2"/>
        <v>508.21</v>
      </c>
      <c r="I17" s="1">
        <f>SUM(I12:I16)</f>
        <v>0.6682338834942636</v>
      </c>
    </row>
    <row r="18" spans="1:5" ht="12.75">
      <c r="A18" s="7">
        <f>resumo!C20</f>
        <v>51.61</v>
      </c>
      <c r="B18" s="1">
        <f t="shared" si="0"/>
        <v>51.61</v>
      </c>
      <c r="C18" s="1">
        <f t="shared" si="1"/>
        <v>15</v>
      </c>
      <c r="D18" s="1" t="s">
        <v>22</v>
      </c>
      <c r="E18" s="1">
        <f t="shared" si="2"/>
        <v>51.61</v>
      </c>
    </row>
    <row r="19" spans="1:5" ht="12.75">
      <c r="A19" s="7">
        <f>resumo!C21</f>
        <v>157.3</v>
      </c>
      <c r="B19" s="1">
        <f t="shared" si="0"/>
        <v>157.3</v>
      </c>
      <c r="C19" s="1">
        <f t="shared" si="1"/>
        <v>9</v>
      </c>
      <c r="D19" s="1" t="s">
        <v>24</v>
      </c>
      <c r="E19" s="1">
        <f t="shared" si="2"/>
        <v>157.3</v>
      </c>
    </row>
    <row r="20" spans="1:5" ht="12.75">
      <c r="A20" s="7">
        <f>resumo!C22</f>
        <v>55.52</v>
      </c>
      <c r="B20" s="1">
        <f t="shared" si="0"/>
        <v>55.52</v>
      </c>
      <c r="C20" s="1">
        <f t="shared" si="1"/>
        <v>14</v>
      </c>
      <c r="D20" s="1" t="s">
        <v>26</v>
      </c>
      <c r="E20" s="1">
        <f t="shared" si="2"/>
        <v>55.52</v>
      </c>
    </row>
    <row r="21" spans="1:5" ht="12.75">
      <c r="A21" s="7">
        <f>resumo!C23</f>
        <v>81.73</v>
      </c>
      <c r="B21" s="1">
        <f t="shared" si="0"/>
        <v>81.73</v>
      </c>
      <c r="C21" s="1">
        <f t="shared" si="1"/>
        <v>12</v>
      </c>
      <c r="D21" s="1" t="s">
        <v>28</v>
      </c>
      <c r="E21" s="1">
        <f t="shared" si="2"/>
        <v>81.73</v>
      </c>
    </row>
    <row r="22" spans="1:5" ht="12.75">
      <c r="A22" s="7">
        <f>resumo!C24</f>
        <v>132.74</v>
      </c>
      <c r="B22" s="1">
        <f t="shared" si="0"/>
        <v>132.74</v>
      </c>
      <c r="C22" s="1">
        <f t="shared" si="1"/>
        <v>10</v>
      </c>
      <c r="D22" s="1" t="s">
        <v>30</v>
      </c>
      <c r="E22" s="1">
        <f t="shared" si="2"/>
        <v>132.74</v>
      </c>
    </row>
    <row r="23" spans="1:5" ht="12.75">
      <c r="A23" s="7">
        <f>resumo!C26</f>
        <v>487.13</v>
      </c>
      <c r="B23" s="1">
        <f t="shared" si="0"/>
        <v>487.13</v>
      </c>
      <c r="C23" s="1">
        <f t="shared" si="1"/>
        <v>6</v>
      </c>
      <c r="D23" s="1" t="s">
        <v>32</v>
      </c>
      <c r="E23" s="1">
        <f t="shared" si="2"/>
        <v>487.13</v>
      </c>
    </row>
    <row r="24" spans="1:5" ht="12.75">
      <c r="A24" s="7">
        <f>resumo!C27</f>
        <v>57.11</v>
      </c>
      <c r="B24" s="1">
        <f t="shared" si="0"/>
        <v>57.11</v>
      </c>
      <c r="C24" s="1">
        <f t="shared" si="1"/>
        <v>13</v>
      </c>
      <c r="D24" s="1" t="s">
        <v>33</v>
      </c>
      <c r="E24" s="1">
        <f t="shared" si="2"/>
        <v>57.11</v>
      </c>
    </row>
    <row r="25" spans="1:5" ht="12.75">
      <c r="A25" s="7">
        <f>resumo!C28</f>
        <v>108.59</v>
      </c>
      <c r="B25" s="1">
        <f t="shared" si="0"/>
        <v>108.59</v>
      </c>
      <c r="C25" s="1">
        <f t="shared" si="1"/>
        <v>11</v>
      </c>
      <c r="D25" s="1" t="s">
        <v>34</v>
      </c>
      <c r="E25" s="1">
        <f t="shared" si="2"/>
        <v>108.59</v>
      </c>
    </row>
    <row r="26" spans="1:5" ht="12.75">
      <c r="A26" s="7" t="str">
        <f>resumo!C29</f>
        <v>-</v>
      </c>
      <c r="B26" s="1">
        <f t="shared" si="0"/>
        <v>0</v>
      </c>
      <c r="C26" s="1">
        <f t="shared" si="1"/>
        <v>19</v>
      </c>
      <c r="D26" s="1" t="s">
        <v>35</v>
      </c>
      <c r="E26" s="1">
        <f t="shared" si="2"/>
        <v>0</v>
      </c>
    </row>
    <row r="27" spans="1:5" ht="12.75">
      <c r="A27" s="7">
        <f>resumo!C30</f>
        <v>35.66</v>
      </c>
      <c r="B27" s="1">
        <f t="shared" si="0"/>
        <v>35.66</v>
      </c>
      <c r="C27" s="1">
        <f t="shared" si="1"/>
        <v>18</v>
      </c>
      <c r="D27" s="1" t="s">
        <v>36</v>
      </c>
      <c r="E27" s="1">
        <f t="shared" si="2"/>
        <v>35.66</v>
      </c>
    </row>
    <row r="28" spans="1:5" ht="12.75">
      <c r="A28" s="7">
        <f>resumo!C31</f>
        <v>236.4</v>
      </c>
      <c r="B28" s="1">
        <f t="shared" si="0"/>
        <v>236.4</v>
      </c>
      <c r="C28" s="1">
        <f t="shared" si="1"/>
        <v>8</v>
      </c>
      <c r="D28" s="1" t="s">
        <v>37</v>
      </c>
      <c r="E28" s="1">
        <f t="shared" si="2"/>
        <v>236.4</v>
      </c>
    </row>
    <row r="29" spans="1:5" ht="12.75">
      <c r="A29" s="7">
        <f>resumo!C33</f>
        <v>330.77</v>
      </c>
      <c r="B29" s="1">
        <f t="shared" si="0"/>
        <v>330.77</v>
      </c>
      <c r="C29" s="1">
        <f t="shared" si="1"/>
        <v>7</v>
      </c>
      <c r="D29" s="1" t="s">
        <v>39</v>
      </c>
      <c r="E29" s="1">
        <f t="shared" si="2"/>
        <v>330.77</v>
      </c>
    </row>
    <row r="30" spans="1:5" ht="12.75">
      <c r="A30" s="7">
        <f>resumo!C34</f>
        <v>1045.55</v>
      </c>
      <c r="B30" s="1">
        <f t="shared" si="0"/>
        <v>1045.55</v>
      </c>
      <c r="C30" s="1">
        <f t="shared" si="1"/>
        <v>1</v>
      </c>
      <c r="D30" s="1" t="s">
        <v>40</v>
      </c>
      <c r="E30" s="1">
        <f t="shared" si="2"/>
        <v>1045.55</v>
      </c>
    </row>
    <row r="31" ht="12.75">
      <c r="A31" s="7">
        <f>SUM(A12:A30)</f>
        <v>5504.450000000002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de Marchi da Silva</dc:creator>
  <cp:keywords/>
  <dc:description/>
  <cp:lastModifiedBy>Felipe Itiro Motobayashi</cp:lastModifiedBy>
  <dcterms:created xsi:type="dcterms:W3CDTF">2020-12-01T18:54:20Z</dcterms:created>
  <dcterms:modified xsi:type="dcterms:W3CDTF">2021-08-30T20:38:01Z</dcterms:modified>
  <cp:category/>
  <cp:version/>
  <cp:contentType/>
  <cp:contentStatus/>
</cp:coreProperties>
</file>