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500" activeTab="0"/>
  </bookViews>
  <sheets>
    <sheet name="Bovinos_e_Comerc" sheetId="1" r:id="rId1"/>
    <sheet name="Leite_-_Produção" sheetId="2" r:id="rId2"/>
    <sheet name="GTA_NR_FB_relatório para Deral" sheetId="3" state="hidden" r:id="rId3"/>
    <sheet name="Reb__Est__por_faixa_etária" sheetId="4" state="hidden" r:id="rId4"/>
    <sheet name="Leite_-_Captação" sheetId="5" state="hidden" r:id="rId5"/>
    <sheet name="OBSERVAÇÃO" sheetId="6" r:id="rId6"/>
  </sheets>
  <definedNames>
    <definedName name="SHARED_FORMULA_17_102_17_102_1">+#REF!</definedName>
    <definedName name="SHARED_FORMULA_17_134_17_134_1">+#REF!</definedName>
    <definedName name="SHARED_FORMULA_17_166_17_166_1">+#REF!</definedName>
    <definedName name="SHARED_FORMULA_17_232_17_232_1">+#REF!</definedName>
    <definedName name="SHARED_FORMULA_17_246_17_246_1">+#REF!</definedName>
    <definedName name="SHARED_FORMULA_17_310_17_310_1">+#REF!</definedName>
    <definedName name="SHARED_FORMULA_17_38_17_38_1">+#REF!</definedName>
    <definedName name="SHARED_FORMULA_17_6_17_6_1">+#REF!</definedName>
    <definedName name="SHARED_FORMULA_17_70_17_70_1">+#REF!</definedName>
    <definedName name="SHARED_FORMULA_18_113_18_113_1">+#REF!</definedName>
    <definedName name="SHARED_FORMULA_18_128_18_128_1">+#REF!</definedName>
    <definedName name="SHARED_FORMULA_18_143_18_143_1">+#REF!</definedName>
    <definedName name="SHARED_FORMULA_18_158_18_158_1">+#REF!</definedName>
    <definedName name="SHARED_FORMULA_18_173_18_173_1">+#REF!</definedName>
    <definedName name="SHARED_FORMULA_18_188_18_188_1">+#REF!</definedName>
    <definedName name="SHARED_FORMULA_18_203_18_203_1">+#REF!</definedName>
    <definedName name="SHARED_FORMULA_18_218_18_218_1">+#REF!</definedName>
    <definedName name="SHARED_FORMULA_18_23_18_23_1">+#REF!</definedName>
    <definedName name="SHARED_FORMULA_18_233_18_233_1">+#REF!</definedName>
    <definedName name="SHARED_FORMULA_18_248_18_248_1">+#REF!</definedName>
    <definedName name="SHARED_FORMULA_18_263_18_263_1">+#REF!</definedName>
    <definedName name="SHARED_FORMULA_18_278_18_278_1">+#REF!</definedName>
    <definedName name="SHARED_FORMULA_18_293_18_293_1">+#REF!</definedName>
    <definedName name="SHARED_FORMULA_18_308_18_308_1">+#REF!</definedName>
    <definedName name="SHARED_FORMULA_18_323_18_323_1">+#REF!</definedName>
    <definedName name="SHARED_FORMULA_18_338_18_338_1">+#REF!</definedName>
    <definedName name="SHARED_FORMULA_18_353_18_353_1">+#REF!</definedName>
    <definedName name="SHARED_FORMULA_18_368_18_368_1">+#REF!</definedName>
    <definedName name="SHARED_FORMULA_18_38_18_38_1">+#REF!</definedName>
    <definedName name="SHARED_FORMULA_18_53_18_53_1">+#REF!</definedName>
    <definedName name="SHARED_FORMULA_18_68_18_68_1">+#REF!</definedName>
    <definedName name="SHARED_FORMULA_18_8_18_8_1">+#REF!</definedName>
    <definedName name="SHARED_FORMULA_18_83_18_83_1">+#REF!</definedName>
    <definedName name="SHARED_FORMULA_18_98_18_98_1">+#REF!</definedName>
  </definedNames>
  <calcPr fullCalcOnLoad="1"/>
</workbook>
</file>

<file path=xl/sharedStrings.xml><?xml version="1.0" encoding="utf-8"?>
<sst xmlns="http://schemas.openxmlformats.org/spreadsheetml/2006/main" count="1181" uniqueCount="282">
  <si>
    <t>Estado do Paraná</t>
  </si>
  <si>
    <t>Intervalos determinados pelo dobro e metade da média paranaense.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</si>
  <si>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</si>
  <si>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</si>
  <si>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</si>
  <si>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</si>
  <si>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</si>
  <si>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</si>
  <si>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</si>
  <si>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</si>
  <si>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Safra:</t>
  </si>
  <si>
    <t>SAFRA</t>
  </si>
  <si>
    <t>CODMUN</t>
  </si>
  <si>
    <t>COD_CUL</t>
  </si>
  <si>
    <t>AREA</t>
  </si>
  <si>
    <t>PRODUCAO</t>
  </si>
  <si>
    <t>PESO</t>
  </si>
  <si>
    <t>VALOR</t>
  </si>
  <si>
    <t>MUNICÍPIO:</t>
  </si>
  <si>
    <t>0302</t>
  </si>
  <si>
    <t>BOA ESPERANCA DO IGUACU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</si>
  <si>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</si>
  <si>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</si>
  <si>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</si>
  <si>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</si>
  <si>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</si>
  <si>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</si>
  <si>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</si>
  <si>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</si>
  <si>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</si>
  <si>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</si>
  <si>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Esterco (t)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</si>
  <si>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</si>
  <si>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</si>
  <si>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</si>
  <si>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</si>
  <si>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</si>
  <si>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</si>
  <si>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</si>
  <si>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</si>
  <si>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</si>
  <si>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</si>
  <si>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</si>
  <si>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</si>
  <si>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</si>
  <si>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</si>
  <si>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GTA</t>
  </si>
  <si>
    <t>ABATIDOS</t>
  </si>
  <si>
    <t>PESO DE ABATE</t>
  </si>
  <si>
    <t>PESO MÉDIO (sem vitelo)</t>
  </si>
  <si>
    <t>COMERCIALIZADOS VIVOS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</si>
  <si>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</si>
  <si>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</si>
  <si>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</si>
  <si>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</si>
  <si>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</si>
  <si>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</si>
  <si>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</si>
  <si>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</si>
  <si>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</si>
  <si>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</si>
  <si>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</si>
  <si>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</si>
  <si>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</si>
  <si>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</si>
  <si>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</si>
  <si>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</si>
  <si>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</si>
  <si>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</si>
  <si>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</si>
  <si>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</si>
  <si>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</si>
  <si>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</si>
  <si>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7019</t>
  </si>
  <si>
    <t>TOUROS</t>
  </si>
  <si>
    <t>3500</t>
  </si>
  <si>
    <t>PASTAGENS</t>
  </si>
  <si>
    <t>0657</t>
  </si>
  <si>
    <t>CRUZEIRO DO IGUACU</t>
  </si>
  <si>
    <t>0720</t>
  </si>
  <si>
    <t>DOIS VIZINHOS</t>
  </si>
  <si>
    <t>1695</t>
  </si>
  <si>
    <t>NOVA ESPERANCA DO SUDOESTE</t>
  </si>
  <si>
    <t>1725</t>
  </si>
  <si>
    <t>NOVA PRATA DO IGUACU</t>
  </si>
  <si>
    <t>2300</t>
  </si>
  <si>
    <t>SALTO DO LONTRA</t>
  </si>
  <si>
    <t>2520</t>
  </si>
  <si>
    <t>SAO JORGE DO OESTE</t>
  </si>
  <si>
    <t>Plantel Total</t>
  </si>
  <si>
    <t>Conf. Total</t>
  </si>
  <si>
    <t>Pastagens Total</t>
  </si>
  <si>
    <t>Leite - total</t>
  </si>
  <si>
    <t>ocultar</t>
  </si>
  <si>
    <t>copia da outra planilha</t>
  </si>
  <si>
    <t>Rebanho</t>
  </si>
  <si>
    <t>Vacas GTA (&gt;24 meses)</t>
  </si>
  <si>
    <t>Vacas Ordenhadas</t>
  </si>
  <si>
    <t>% Raças Rebanho</t>
  </si>
  <si>
    <t>Média (L/vaca)</t>
  </si>
  <si>
    <t xml:space="preserve"> Produção municipal (mil litros)</t>
  </si>
  <si>
    <t>Média Estimada (lt/vaca/ano)</t>
  </si>
  <si>
    <t>Reb. Confin.</t>
  </si>
  <si>
    <t>Municípios</t>
  </si>
  <si>
    <t>Total</t>
  </si>
  <si>
    <t>Leite</t>
  </si>
  <si>
    <t>%</t>
  </si>
  <si>
    <t>%/vacas &gt;24 mêses</t>
  </si>
  <si>
    <t>Cab.</t>
  </si>
  <si>
    <t>Confi-nado</t>
  </si>
  <si>
    <t>Holan-desa</t>
  </si>
  <si>
    <t>Jersey</t>
  </si>
  <si>
    <t>Outras</t>
  </si>
  <si>
    <t>Ano</t>
  </si>
  <si>
    <t>Dia</t>
  </si>
  <si>
    <t>Confin.</t>
  </si>
  <si>
    <t>Holand.</t>
  </si>
  <si>
    <t>Cabeças</t>
  </si>
  <si>
    <t>Boa Esperança do Iguaçu</t>
  </si>
  <si>
    <t>Cruzeiro do Iguaçu</t>
  </si>
  <si>
    <t>Dois Vizinhos</t>
  </si>
  <si>
    <t>Nova Esperança do Sudoeste</t>
  </si>
  <si>
    <t>Nova Prata do Iguaçu</t>
  </si>
  <si>
    <t>Salto do Lontra</t>
  </si>
  <si>
    <t>São Jorge do Oeste</t>
  </si>
  <si>
    <t>Total Regional Estimado</t>
  </si>
  <si>
    <t>BOA ESPERANÇA DO IGUAÇU</t>
  </si>
  <si>
    <t xml:space="preserve"> Nº Prop. com bovinos</t>
  </si>
  <si>
    <t>Abatido na Prop.</t>
  </si>
  <si>
    <t>0 – 12 meses</t>
  </si>
  <si>
    <t>12 – 24 meses</t>
  </si>
  <si>
    <t>24 – 36 meses</t>
  </si>
  <si>
    <t>+ de 36 meses</t>
  </si>
  <si>
    <t>(até 24 meses)</t>
  </si>
  <si>
    <t>SAIDA</t>
  </si>
  <si>
    <t>M</t>
  </si>
  <si>
    <t>F</t>
  </si>
  <si>
    <t>Macho</t>
  </si>
  <si>
    <t>Fêmeas</t>
  </si>
  <si>
    <t>Abate/Comerc.</t>
  </si>
  <si>
    <t>Abate</t>
  </si>
  <si>
    <t>Cria/Engorda</t>
  </si>
  <si>
    <t>Cria/Reprodução</t>
  </si>
  <si>
    <t>Dif.</t>
  </si>
  <si>
    <t>Leilão</t>
  </si>
  <si>
    <t xml:space="preserve">COMERCIALIZADOS VIVOS </t>
  </si>
  <si>
    <t>INTERNA</t>
  </si>
  <si>
    <t>Novilho(a) (garrotes)</t>
  </si>
  <si>
    <t>CRUZEIRO DO IGUAÇU</t>
  </si>
  <si>
    <t>NOVA ESPERANÇA DO SUDOESTE</t>
  </si>
  <si>
    <t>NOVA PRATA DO IGUAÇU</t>
  </si>
  <si>
    <t xml:space="preserve">SALTO DO LONTRA </t>
  </si>
  <si>
    <t>SÃO JORGE DO OESTE</t>
  </si>
  <si>
    <t xml:space="preserve"> Prop. (total)</t>
  </si>
  <si>
    <t>Abate/Comerc. (total)</t>
  </si>
  <si>
    <t>Bovinos - Rebanho Estático – 2020</t>
  </si>
  <si>
    <t>Propriedades – ADAPAR</t>
  </si>
  <si>
    <t>0 - 4 meses</t>
  </si>
  <si>
    <t>0 - 12 meses</t>
  </si>
  <si>
    <t>12 - 24 meses</t>
  </si>
  <si>
    <t>24 - 36 meses</t>
  </si>
  <si>
    <t>Total do Rebanho</t>
  </si>
  <si>
    <t>Vacas + de 24 meses</t>
  </si>
  <si>
    <t>IBGE</t>
  </si>
  <si>
    <t>Boa Esp. do Iguaçu</t>
  </si>
  <si>
    <t>Nova Esp. Sudoeste</t>
  </si>
  <si>
    <t>Dif. de 2020 para 2019</t>
  </si>
  <si>
    <t>PASTAGENS 2019</t>
  </si>
  <si>
    <t>ÁREA</t>
  </si>
  <si>
    <t>Taxa Ocup.</t>
  </si>
  <si>
    <t>Bovinocultura 2019 - Levantamento de rebanhos, abates e comercialização no Núcleo Regional de Francisco Beltrão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</si>
  <si>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</si>
  <si>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</si>
  <si>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</si>
  <si>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</si>
  <si>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</si>
  <si>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</si>
  <si>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</si>
  <si>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</si>
  <si>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</si>
  <si>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</si>
  <si>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</si>
  <si>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</si>
  <si>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Captação Média IBGE 1997-2018</t>
  </si>
  <si>
    <t>Aumento da Captação IBGE - 2019</t>
  </si>
  <si>
    <t>Produção REGIONAL efetiva 2018</t>
  </si>
  <si>
    <t>Produção REGIONAL estimada 2019</t>
  </si>
  <si>
    <t>Ampere</t>
  </si>
  <si>
    <t>Barracao</t>
  </si>
  <si>
    <t>Bela Vista Da Caroba</t>
  </si>
  <si>
    <t>Bom Jesus Do Sul</t>
  </si>
  <si>
    <t>Capanema</t>
  </si>
  <si>
    <t>Eneas Marques</t>
  </si>
  <si>
    <t>Flor Da Serra Do Sul</t>
  </si>
  <si>
    <t>Francisco Beltrao</t>
  </si>
  <si>
    <t>Manfrinopolis</t>
  </si>
  <si>
    <t>Marmeleiro</t>
  </si>
  <si>
    <t>Perola Do Oeste</t>
  </si>
  <si>
    <t>Pinhal De Sao Bento</t>
  </si>
  <si>
    <t>Planalto</t>
  </si>
  <si>
    <t>Pranchita</t>
  </si>
  <si>
    <t>Realeza</t>
  </si>
  <si>
    <t>Renascenca</t>
  </si>
  <si>
    <t>Salgado Filho</t>
  </si>
  <si>
    <t>Santa Izabel Do Oeste</t>
  </si>
  <si>
    <t>Santo Antonio Do Sudoeste</t>
  </si>
  <si>
    <t>Vere</t>
  </si>
  <si>
    <t>Laticínio 1</t>
  </si>
  <si>
    <t>Laticínio 2</t>
  </si>
  <si>
    <t>Laticínio 3</t>
  </si>
  <si>
    <t>Laticínio 4</t>
  </si>
  <si>
    <t>Laticínio 5</t>
  </si>
  <si>
    <t>Laticínio 6</t>
  </si>
  <si>
    <t>Laticínio 7</t>
  </si>
  <si>
    <t>Laticínio 8</t>
  </si>
  <si>
    <t>Laticínio 9</t>
  </si>
  <si>
    <t>Laticínio 10</t>
  </si>
  <si>
    <t>Laticínio 11</t>
  </si>
  <si>
    <t>Laticínio 12</t>
  </si>
  <si>
    <t>Laticínio 13</t>
  </si>
  <si>
    <t>Laticínio 14</t>
  </si>
  <si>
    <t>Laticínio 15</t>
  </si>
  <si>
    <t>Laticínio 16</t>
  </si>
  <si>
    <t>Laticínio 17</t>
  </si>
  <si>
    <t>Laticínio 18</t>
  </si>
  <si>
    <t>Laticínio 19</t>
  </si>
  <si>
    <t>Laticínio 20</t>
  </si>
  <si>
    <t>Laticínio 21</t>
  </si>
  <si>
    <t>Laticínio 22</t>
  </si>
  <si>
    <t>Laticínio 23</t>
  </si>
  <si>
    <t>Laticínio 24</t>
  </si>
  <si>
    <t>SOMA</t>
  </si>
  <si>
    <t>INSTRUÇÕES:</t>
  </si>
  <si>
    <t>Parte das informações deste novo formulários são iguais as do antigo e deverão ser obtidas preferencialmente via GTA, foram acrescentadas outras informações importantes para melhorar a consistência da pesquisa.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</si>
  <si>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</si>
  <si>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</si>
  <si>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necessariamente errado o valor lançado.</t>
  </si>
  <si>
    <t>As informações deverão ser devolvidas à Sede exclusivamente por meio eletrônico (e-mail).</t>
  </si>
  <si>
    <t>Os animais abatidos deverão ser subdivididos em comum, precoce e vitelo; porém, posteriormente na Sede os precoces serão agregados aos comuns. A separação serve exclusivamente para calcular a média de peso.</t>
  </si>
  <si>
    <t>Lembrar de descontar os animais com registro do número de touros captados da GTA.</t>
  </si>
  <si>
    <t>Os itens que aparecerem em vermelho indicam que o número está fora da faixa média do Estado, o que não significa que está errado, pois certamente haverá situações particulares que justificam.</t>
  </si>
  <si>
    <t>DEFINIÇÕES:</t>
  </si>
  <si>
    <t>O gado leiteiro engloba também o gado misto, já o gado de corte é apenas o destinado especificamente para esta aptidão.</t>
  </si>
  <si>
    <t>No campo rebanho confinado preencher considerando os animais confinados 100% do tempo.</t>
  </si>
  <si>
    <t>No campo não confinado preencher considerando os animais não confinados e semi-confinados.</t>
  </si>
  <si>
    <t>Para a média de litros por vaca dia foi considerado um período de lactação de 305 dias.</t>
  </si>
  <si>
    <t>Considerar os animais do municípios abatidos no ano (abate interno - GTA's Internas) e animais que saíram do município para abate em outros municípios (saída para abate - GTA's de Saída).</t>
  </si>
  <si>
    <t>Não considerar animais vivos que transitam dentro do próprio município  (transferência de pasto)</t>
  </si>
  <si>
    <t>Orientação para uso da GTA, sendo que os códigos representam os campos a serem utilizados.</t>
  </si>
  <si>
    <t>GTAs de Saída - Abatidos/Comercializados</t>
  </si>
  <si>
    <t>Cod. Espécie</t>
  </si>
  <si>
    <t>Espécie</t>
  </si>
  <si>
    <t>Finalidade</t>
  </si>
  <si>
    <t>Total Machos</t>
  </si>
  <si>
    <t>Total Femeas</t>
  </si>
  <si>
    <t>Total Animais</t>
  </si>
  <si>
    <t>Mais de 36 meses</t>
  </si>
  <si>
    <t>BOVINA</t>
  </si>
  <si>
    <t>7010 boi p/corte</t>
  </si>
  <si>
    <t>7025 vaca p/corte</t>
  </si>
  <si>
    <t>7590 vitelo</t>
  </si>
  <si>
    <t>7015 bezerros</t>
  </si>
  <si>
    <t>7016 bezerras</t>
  </si>
  <si>
    <t>7017 novilho</t>
  </si>
  <si>
    <t>7018 novilha</t>
  </si>
  <si>
    <t>CRIA/Reproducao</t>
  </si>
  <si>
    <t>7019 touros</t>
  </si>
  <si>
    <t>7024 vaca p/cria</t>
  </si>
  <si>
    <t>Leilao</t>
  </si>
  <si>
    <t>GTA's</t>
  </si>
  <si>
    <t>Cria/Reproducao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</si>
  <si>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</si>
  <si>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</si>
  <si>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</si>
  <si>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>Vitelo: desconsiderar se não houver na região animais neste regime específico. Se houver, descontar do código 7010.</t>
  </si>
  <si>
    <t>leite confinado</t>
  </si>
  <si>
    <t>leite náo confinado</t>
  </si>
  <si>
    <t>corte confinado</t>
  </si>
  <si>
    <t>corte náo confinado</t>
  </si>
  <si>
    <r>
      <t xml:space="preserve">Bovinocultura 2021 - Levantamento de rebanhos, abates e comercialização no Núcleo Regional de </t>
    </r>
    <r>
      <rPr>
        <b/>
        <u val="single"/>
        <sz val="12"/>
        <color indexed="8"/>
        <rFont val="Arial"/>
        <family val="2"/>
      </rPr>
      <t>Dois Vizinhos</t>
    </r>
  </si>
  <si>
    <t>20/21</t>
  </si>
  <si>
    <r>
      <t xml:space="preserve">Bovinocultura 2021 - Levantamento de rebanhos e produção leiteira no Núcleo Regional de </t>
    </r>
    <r>
      <rPr>
        <b/>
        <u val="single"/>
        <sz val="12"/>
        <color indexed="8"/>
        <rFont val="Arial2"/>
        <family val="0"/>
      </rPr>
      <t>Dois Vizinhos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</si>
</sst>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\-mmm\-yy"/>
    <numFmt numFmtId="171" formatCode="#,##0.0\ ;&quot; (&quot;#,##0.0\);\-#\ ;@\ "/>
    <numFmt numFmtId="172" formatCode="#,##0.00\ ;\-#,##0.00\ ;\-00\ ;@\ "/>
    <numFmt numFmtId="173" formatCode="0\ ;&quot; (&quot;0\);\-#\ ;@\ "/>
    <numFmt numFmtId="174" formatCode="#,##0.000\ ;&quot; (&quot;#,##0.000\);\-#\ ;@\ "/>
    <numFmt numFmtId="175" formatCode="#,##0.00000\ ;&quot; (&quot;#,##0.00000\);\-#\ ;@\ "/>
    <numFmt numFmtId="176" formatCode="#,##0;[Red]#,##0"/>
    <numFmt numFmtId="177" formatCode="0.0%"/>
    <numFmt numFmtId="178" formatCode="#,##0.0"/>
    <numFmt numFmtId="179" formatCode="0.0"/>
    <numFmt numFmtId="180" formatCode="0\ ;&quot; (&quot;0\);\-00\ ;@\ "/>
    <numFmt numFmtId="181" formatCode="#,##0\ ;&quot; (&quot;#,##0\);\-#\ ;@\ "/>
    <numFmt numFmtId="182" formatCode="0.0%;[Red]\-0.0%"/>
    <numFmt numFmtId="183" formatCode="0.00%;[Red]\-0.00%"/>
    <numFmt numFmtId="184" formatCode="#,##0.00\ ;&quot; (&quot;#,##0.00\);\-#\ ;@\ "/>
  </numFmts>
  <fonts count="101">
    <font>
      <sz val="8"/>
      <color indexed="8"/>
      <name val="Arial1"/>
      <family val="0"/>
    </font>
    <font>
      <sz val="10"/>
      <name val="Arial"/>
      <family val="0"/>
    </font>
    <font>
      <b/>
      <sz val="8"/>
      <color indexed="57"/>
      <name val="Arial1"/>
      <family val="0"/>
    </font>
    <font>
      <b/>
      <sz val="8"/>
      <color indexed="10"/>
      <name val="Arial1"/>
      <family val="0"/>
    </font>
    <font>
      <b/>
      <sz val="8"/>
      <color indexed="17"/>
      <name val="Arial1"/>
      <family val="0"/>
    </font>
    <font>
      <sz val="10"/>
      <color indexed="8"/>
      <name val="Arial3"/>
      <family val="0"/>
    </font>
    <font>
      <sz val="10"/>
      <color indexed="8"/>
      <name val="Arial1"/>
      <family val="0"/>
    </font>
    <font>
      <sz val="10"/>
      <color indexed="8"/>
      <name val="Arial2"/>
      <family val="2"/>
    </font>
    <font>
      <sz val="8"/>
      <name val="Arial"/>
      <family val="2"/>
    </font>
    <font>
      <b/>
      <sz val="18"/>
      <color indexed="62"/>
      <name val="Cambria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10"/>
      <name val="Arial1"/>
      <family val="0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2"/>
      <family val="2"/>
    </font>
    <font>
      <sz val="16"/>
      <color indexed="9"/>
      <name val="Arial1"/>
      <family val="0"/>
    </font>
    <font>
      <b/>
      <sz val="10"/>
      <name val="Arial2"/>
      <family val="2"/>
    </font>
    <font>
      <b/>
      <sz val="10"/>
      <color indexed="8"/>
      <name val="Arial2"/>
      <family val="2"/>
    </font>
    <font>
      <sz val="8"/>
      <name val="Arial1"/>
      <family val="0"/>
    </font>
    <font>
      <b/>
      <sz val="8"/>
      <color indexed="14"/>
      <name val="Arial2"/>
      <family val="2"/>
    </font>
    <font>
      <sz val="8"/>
      <color indexed="14"/>
      <name val="Arial1"/>
      <family val="0"/>
    </font>
    <font>
      <sz val="10"/>
      <color indexed="14"/>
      <name val="Arial1"/>
      <family val="0"/>
    </font>
    <font>
      <sz val="16"/>
      <color indexed="14"/>
      <name val="Arial1"/>
      <family val="0"/>
    </font>
    <font>
      <b/>
      <sz val="8"/>
      <color indexed="10"/>
      <name val="Arial2"/>
      <family val="2"/>
    </font>
    <font>
      <sz val="16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b/>
      <sz val="10"/>
      <color indexed="8"/>
      <name val="Arial1"/>
      <family val="0"/>
    </font>
    <font>
      <b/>
      <sz val="8"/>
      <name val="Arial2"/>
      <family val="2"/>
    </font>
    <font>
      <sz val="9"/>
      <color indexed="8"/>
      <name val="Arial2"/>
      <family val="0"/>
    </font>
    <font>
      <b/>
      <sz val="12"/>
      <color indexed="10"/>
      <name val="Arial1"/>
      <family val="0"/>
    </font>
    <font>
      <b/>
      <sz val="12"/>
      <color indexed="8"/>
      <name val="Arial2"/>
      <family val="0"/>
    </font>
    <font>
      <b/>
      <u val="single"/>
      <sz val="12"/>
      <color indexed="8"/>
      <name val="Arial2"/>
      <family val="0"/>
    </font>
    <font>
      <sz val="12"/>
      <color indexed="8"/>
      <name val="Arial2"/>
      <family val="0"/>
    </font>
    <font>
      <b/>
      <sz val="12"/>
      <color indexed="33"/>
      <name val="Arial1"/>
      <family val="0"/>
    </font>
    <font>
      <b/>
      <sz val="9"/>
      <color indexed="9"/>
      <name val="Arial2"/>
      <family val="0"/>
    </font>
    <font>
      <b/>
      <sz val="8"/>
      <color indexed="9"/>
      <name val="Arial2"/>
      <family val="0"/>
    </font>
    <font>
      <b/>
      <sz val="9"/>
      <color indexed="9"/>
      <name val="Arial"/>
      <family val="2"/>
    </font>
    <font>
      <sz val="9"/>
      <name val="Arial2"/>
      <family val="0"/>
    </font>
    <font>
      <b/>
      <sz val="9"/>
      <name val="Arial2"/>
      <family val="0"/>
    </font>
    <font>
      <sz val="9"/>
      <name val="Arial1"/>
      <family val="0"/>
    </font>
    <font>
      <b/>
      <sz val="9"/>
      <color indexed="8"/>
      <name val="Arial2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color indexed="30"/>
      <name val="Arial"/>
      <family val="2"/>
    </font>
    <font>
      <sz val="10"/>
      <color indexed="53"/>
      <name val="Arial"/>
      <family val="2"/>
    </font>
    <font>
      <b/>
      <sz val="9"/>
      <name val="Arial1"/>
      <family val="0"/>
    </font>
    <font>
      <b/>
      <sz val="10"/>
      <name val="Arial1"/>
      <family val="0"/>
    </font>
    <font>
      <b/>
      <sz val="8"/>
      <color indexed="8"/>
      <name val="Arial1"/>
      <family val="0"/>
    </font>
    <font>
      <b/>
      <sz val="8"/>
      <name val="Arial1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1"/>
      <family val="0"/>
    </font>
    <font>
      <b/>
      <sz val="9"/>
      <color indexed="10"/>
      <name val="Arial1"/>
      <family val="0"/>
    </font>
    <font>
      <b/>
      <sz val="10"/>
      <color indexed="10"/>
      <name val="Arial1"/>
      <family val="0"/>
    </font>
    <font>
      <sz val="8"/>
      <color indexed="8"/>
      <name val="Arial2"/>
      <family val="0"/>
    </font>
    <font>
      <sz val="10"/>
      <color indexed="8"/>
      <name val="Calibri"/>
      <family val="2"/>
    </font>
    <font>
      <b/>
      <sz val="10"/>
      <color indexed="1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9"/>
      </top>
      <bottom style="hair">
        <color indexed="9"/>
      </bottom>
    </border>
    <border>
      <left style="medium">
        <color indexed="63"/>
      </left>
      <right style="medium">
        <color indexed="63"/>
      </right>
      <top style="hair">
        <color indexed="9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hair"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7" fillId="21" borderId="1" applyNumberFormat="0" applyAlignment="0" applyProtection="0"/>
    <xf numFmtId="0" fontId="88" fillId="22" borderId="2" applyNumberFormat="0" applyAlignment="0" applyProtection="0"/>
    <xf numFmtId="0" fontId="89" fillId="0" borderId="3" applyNumberFormat="0" applyFill="0" applyAlignment="0" applyProtection="0"/>
    <xf numFmtId="0" fontId="0" fillId="23" borderId="0" applyBorder="0" applyProtection="0">
      <alignment/>
    </xf>
    <xf numFmtId="0" fontId="2" fillId="0" borderId="0" applyBorder="0" applyProtection="0">
      <alignment/>
    </xf>
    <xf numFmtId="0" fontId="0" fillId="24" borderId="0" applyBorder="0" applyProtection="0">
      <alignment/>
    </xf>
    <xf numFmtId="0" fontId="0" fillId="25" borderId="4" applyProtection="0">
      <alignment/>
    </xf>
    <xf numFmtId="0" fontId="0" fillId="23" borderId="0" applyBorder="0" applyProtection="0">
      <alignment/>
    </xf>
    <xf numFmtId="0" fontId="0" fillId="24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4" fillId="0" borderId="0" applyBorder="0" applyProtection="0">
      <alignment/>
    </xf>
    <xf numFmtId="0" fontId="0" fillId="24" borderId="0" applyBorder="0" applyProtection="0">
      <alignment/>
    </xf>
    <xf numFmtId="0" fontId="0" fillId="26" borderId="4" applyProtection="0">
      <alignment/>
    </xf>
    <xf numFmtId="0" fontId="0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4" fillId="0" borderId="0" applyBorder="0" applyProtection="0">
      <alignment/>
    </xf>
    <xf numFmtId="0" fontId="0" fillId="24" borderId="0" applyBorder="0" applyProtection="0">
      <alignment/>
    </xf>
    <xf numFmtId="0" fontId="0" fillId="26" borderId="4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90" fillId="33" borderId="1" applyNumberFormat="0" applyAlignment="0" applyProtection="0"/>
    <xf numFmtId="0" fontId="91" fillId="34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92" fillId="35" borderId="0" applyNumberFormat="0" applyBorder="0" applyAlignment="0" applyProtection="0"/>
    <xf numFmtId="0" fontId="5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0" fillId="36" borderId="5" applyNumberFormat="0" applyFont="0" applyAlignment="0" applyProtection="0"/>
    <xf numFmtId="0" fontId="8" fillId="0" borderId="0" applyBorder="0" applyAlignment="0" applyProtection="0"/>
    <xf numFmtId="9" fontId="0" fillId="0" borderId="0" applyBorder="0" applyProtection="0">
      <alignment/>
    </xf>
    <xf numFmtId="0" fontId="93" fillId="21" borderId="6" applyNumberFormat="0" applyAlignment="0" applyProtection="0"/>
    <xf numFmtId="41" fontId="1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9" fillId="0" borderId="0" applyBorder="0" applyProtection="0">
      <alignment/>
    </xf>
    <xf numFmtId="0" fontId="100" fillId="0" borderId="10" applyNumberFormat="0" applyFill="0" applyAlignment="0" applyProtection="0"/>
    <xf numFmtId="172" fontId="0" fillId="0" borderId="0" applyBorder="0" applyProtection="0">
      <alignment/>
    </xf>
  </cellStyleXfs>
  <cellXfs count="3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3" borderId="0" xfId="0" applyNumberFormat="1" applyFill="1" applyAlignment="1">
      <alignment/>
    </xf>
    <xf numFmtId="0" fontId="0" fillId="23" borderId="0" xfId="0" applyNumberFormat="1" applyFont="1" applyFill="1" applyAlignment="1" applyProtection="1">
      <alignment horizontal="left"/>
      <protection/>
    </xf>
    <xf numFmtId="0" fontId="6" fillId="23" borderId="0" xfId="68" applyNumberFormat="1" applyFont="1" applyFill="1" applyBorder="1" applyAlignment="1" applyProtection="1">
      <alignment horizontal="center"/>
      <protection/>
    </xf>
    <xf numFmtId="9" fontId="0" fillId="23" borderId="0" xfId="0" applyNumberFormat="1" applyFont="1" applyFill="1" applyAlignment="1">
      <alignment/>
    </xf>
    <xf numFmtId="170" fontId="6" fillId="23" borderId="0" xfId="68" applyNumberFormat="1" applyFont="1" applyFill="1" applyBorder="1" applyAlignment="1" applyProtection="1">
      <alignment horizontal="right" wrapText="1"/>
      <protection/>
    </xf>
    <xf numFmtId="0" fontId="6" fillId="23" borderId="11" xfId="68" applyNumberFormat="1" applyFont="1" applyFill="1" applyBorder="1" applyAlignment="1" applyProtection="1">
      <alignment horizontal="left" wrapText="1"/>
      <protection/>
    </xf>
    <xf numFmtId="0" fontId="6" fillId="23" borderId="11" xfId="68" applyNumberFormat="1" applyFont="1" applyFill="1" applyBorder="1" applyAlignment="1" applyProtection="1">
      <alignment horizontal="right" wrapText="1"/>
      <protection/>
    </xf>
    <xf numFmtId="0" fontId="0" fillId="23" borderId="0" xfId="0" applyNumberFormat="1" applyFont="1" applyFill="1" applyAlignment="1">
      <alignment textRotation="90"/>
    </xf>
    <xf numFmtId="0" fontId="0" fillId="23" borderId="0" xfId="0" applyNumberFormat="1" applyFill="1" applyAlignment="1" applyProtection="1">
      <alignment/>
      <protection/>
    </xf>
    <xf numFmtId="9" fontId="0" fillId="23" borderId="0" xfId="72" applyNumberFormat="1" applyFont="1" applyFill="1" applyBorder="1" applyAlignment="1" applyProtection="1">
      <alignment/>
      <protection/>
    </xf>
    <xf numFmtId="171" fontId="0" fillId="23" borderId="0" xfId="0" applyNumberFormat="1" applyFill="1" applyAlignment="1">
      <alignment/>
    </xf>
    <xf numFmtId="1" fontId="0" fillId="23" borderId="0" xfId="0" applyNumberFormat="1" applyFill="1" applyAlignment="1">
      <alignment/>
    </xf>
    <xf numFmtId="0" fontId="10" fillId="23" borderId="0" xfId="0" applyNumberFormat="1" applyFont="1" applyFill="1" applyAlignment="1" applyProtection="1">
      <alignment horizontal="left"/>
      <protection locked="0"/>
    </xf>
    <xf numFmtId="0" fontId="12" fillId="23" borderId="0" xfId="0" applyNumberFormat="1" applyFont="1" applyFill="1" applyAlignment="1" applyProtection="1">
      <alignment horizontal="left"/>
      <protection/>
    </xf>
    <xf numFmtId="0" fontId="13" fillId="23" borderId="0" xfId="0" applyNumberFormat="1" applyFont="1" applyFill="1" applyAlignment="1">
      <alignment/>
    </xf>
    <xf numFmtId="0" fontId="13" fillId="23" borderId="11" xfId="68" applyNumberFormat="1" applyFont="1" applyFill="1" applyBorder="1" applyAlignment="1" applyProtection="1">
      <alignment horizontal="left" wrapText="1"/>
      <protection/>
    </xf>
    <xf numFmtId="0" fontId="0" fillId="23" borderId="0" xfId="0" applyNumberFormat="1" applyFill="1" applyAlignment="1">
      <alignment horizontal="left" vertical="center"/>
    </xf>
    <xf numFmtId="0" fontId="6" fillId="23" borderId="12" xfId="68" applyNumberFormat="1" applyFont="1" applyFill="1" applyBorder="1" applyAlignment="1" applyProtection="1">
      <alignment horizontal="center"/>
      <protection/>
    </xf>
    <xf numFmtId="0" fontId="14" fillId="37" borderId="0" xfId="71" applyFont="1" applyFill="1" applyBorder="1" applyAlignment="1" applyProtection="1">
      <alignment horizontal="left"/>
      <protection/>
    </xf>
    <xf numFmtId="0" fontId="15" fillId="37" borderId="0" xfId="71" applyFont="1" applyFill="1" applyBorder="1" applyAlignment="1" applyProtection="1">
      <alignment horizontal="left"/>
      <protection/>
    </xf>
    <xf numFmtId="0" fontId="8" fillId="0" borderId="0" xfId="71" applyBorder="1" applyAlignment="1" applyProtection="1">
      <alignment/>
      <protection/>
    </xf>
    <xf numFmtId="0" fontId="16" fillId="0" borderId="11" xfId="68" applyNumberFormat="1" applyFont="1" applyBorder="1" applyAlignment="1" applyProtection="1">
      <alignment horizontal="left" wrapText="1"/>
      <protection/>
    </xf>
    <xf numFmtId="0" fontId="8" fillId="38" borderId="0" xfId="71" applyNumberFormat="1" applyFill="1" applyBorder="1" applyAlignment="1" applyProtection="1">
      <alignment/>
      <protection/>
    </xf>
    <xf numFmtId="0" fontId="8" fillId="38" borderId="0" xfId="71" applyFont="1" applyFill="1" applyBorder="1" applyAlignment="1" applyProtection="1">
      <alignment horizontal="center" vertical="center"/>
      <protection/>
    </xf>
    <xf numFmtId="0" fontId="8" fillId="38" borderId="0" xfId="71" applyNumberFormat="1" applyFont="1" applyFill="1" applyBorder="1" applyAlignment="1" applyProtection="1">
      <alignment/>
      <protection/>
    </xf>
    <xf numFmtId="0" fontId="8" fillId="38" borderId="0" xfId="7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71" applyFont="1" applyBorder="1" applyAlignment="1" applyProtection="1">
      <alignment/>
      <protection/>
    </xf>
    <xf numFmtId="0" fontId="8" fillId="0" borderId="0" xfId="71" applyBorder="1" applyAlignment="1" applyProtection="1">
      <alignment horizontal="left"/>
      <protection/>
    </xf>
    <xf numFmtId="0" fontId="17" fillId="23" borderId="0" xfId="0" applyNumberFormat="1" applyFont="1" applyFill="1" applyAlignment="1">
      <alignment horizontal="center" vertical="center"/>
    </xf>
    <xf numFmtId="0" fontId="0" fillId="23" borderId="0" xfId="0" applyNumberFormat="1" applyFill="1" applyAlignment="1">
      <alignment horizontal="center"/>
    </xf>
    <xf numFmtId="173" fontId="0" fillId="23" borderId="0" xfId="84" applyNumberFormat="1" applyFont="1" applyFill="1" applyBorder="1" applyAlignment="1" applyProtection="1">
      <alignment/>
      <protection/>
    </xf>
    <xf numFmtId="173" fontId="0" fillId="23" borderId="0" xfId="0" applyNumberFormat="1" applyFill="1" applyAlignment="1">
      <alignment/>
    </xf>
    <xf numFmtId="2" fontId="0" fillId="23" borderId="0" xfId="0" applyNumberFormat="1" applyFill="1" applyAlignment="1">
      <alignment/>
    </xf>
    <xf numFmtId="0" fontId="0" fillId="23" borderId="13" xfId="0" applyNumberFormat="1" applyFont="1" applyFill="1" applyBorder="1" applyAlignment="1">
      <alignment horizontal="left"/>
    </xf>
    <xf numFmtId="174" fontId="0" fillId="23" borderId="13" xfId="84" applyNumberFormat="1" applyFont="1" applyFill="1" applyBorder="1" applyAlignment="1" applyProtection="1">
      <alignment horizontal="center"/>
      <protection/>
    </xf>
    <xf numFmtId="175" fontId="0" fillId="23" borderId="13" xfId="84" applyNumberFormat="1" applyFont="1" applyFill="1" applyBorder="1" applyAlignment="1" applyProtection="1">
      <alignment horizontal="right"/>
      <protection/>
    </xf>
    <xf numFmtId="0" fontId="0" fillId="23" borderId="0" xfId="0" applyNumberFormat="1" applyFill="1" applyAlignment="1">
      <alignment horizontal="left"/>
    </xf>
    <xf numFmtId="0" fontId="0" fillId="23" borderId="14" xfId="0" applyNumberFormat="1" applyFill="1" applyBorder="1" applyAlignment="1">
      <alignment/>
    </xf>
    <xf numFmtId="0" fontId="17" fillId="39" borderId="14" xfId="0" applyNumberFormat="1" applyFont="1" applyFill="1" applyBorder="1" applyAlignment="1">
      <alignment horizontal="center" vertical="center"/>
    </xf>
    <xf numFmtId="0" fontId="17" fillId="23" borderId="15" xfId="0" applyNumberFormat="1" applyFont="1" applyFill="1" applyBorder="1" applyAlignment="1">
      <alignment/>
    </xf>
    <xf numFmtId="0" fontId="0" fillId="23" borderId="0" xfId="0" applyNumberFormat="1" applyFont="1" applyFill="1" applyAlignment="1">
      <alignment horizontal="center" vertical="center"/>
    </xf>
    <xf numFmtId="1" fontId="0" fillId="23" borderId="0" xfId="0" applyNumberFormat="1" applyFill="1" applyAlignment="1">
      <alignment vertical="center"/>
    </xf>
    <xf numFmtId="0" fontId="0" fillId="23" borderId="0" xfId="0" applyNumberFormat="1" applyFont="1" applyFill="1" applyAlignment="1">
      <alignment horizontal="left" vertical="center" wrapText="1"/>
    </xf>
    <xf numFmtId="0" fontId="0" fillId="39" borderId="14" xfId="0" applyNumberFormat="1" applyFont="1" applyFill="1" applyBorder="1" applyAlignment="1">
      <alignment horizontal="center" vertical="center" wrapText="1"/>
    </xf>
    <xf numFmtId="0" fontId="18" fillId="23" borderId="0" xfId="0" applyNumberFormat="1" applyFont="1" applyFill="1" applyAlignment="1">
      <alignment horizontal="center" vertical="center"/>
    </xf>
    <xf numFmtId="10" fontId="0" fillId="40" borderId="14" xfId="72" applyNumberFormat="1" applyFont="1" applyFill="1" applyBorder="1" applyAlignment="1" applyProtection="1">
      <alignment horizontal="center"/>
      <protection locked="0"/>
    </xf>
    <xf numFmtId="9" fontId="0" fillId="40" borderId="14" xfId="72" applyNumberFormat="1" applyFont="1" applyFill="1" applyBorder="1" applyAlignment="1" applyProtection="1">
      <alignment horizontal="center"/>
      <protection locked="0"/>
    </xf>
    <xf numFmtId="3" fontId="0" fillId="40" borderId="14" xfId="0" applyNumberFormat="1" applyFill="1" applyBorder="1" applyAlignment="1" applyProtection="1">
      <alignment horizontal="center"/>
      <protection locked="0"/>
    </xf>
    <xf numFmtId="176" fontId="20" fillId="0" borderId="0" xfId="84" applyNumberFormat="1" applyFont="1" applyFill="1" applyBorder="1" applyAlignment="1" applyProtection="1">
      <alignment horizontal="center"/>
      <protection/>
    </xf>
    <xf numFmtId="3" fontId="0" fillId="23" borderId="14" xfId="0" applyNumberFormat="1" applyFill="1" applyBorder="1" applyAlignment="1" applyProtection="1">
      <alignment horizontal="center"/>
      <protection locked="0"/>
    </xf>
    <xf numFmtId="173" fontId="17" fillId="0" borderId="0" xfId="84" applyNumberFormat="1" applyFont="1" applyFill="1" applyBorder="1" applyAlignment="1" applyProtection="1">
      <alignment horizontal="center"/>
      <protection/>
    </xf>
    <xf numFmtId="0" fontId="0" fillId="23" borderId="15" xfId="0" applyNumberFormat="1" applyFill="1" applyBorder="1" applyAlignment="1">
      <alignment/>
    </xf>
    <xf numFmtId="4" fontId="17" fillId="0" borderId="0" xfId="84" applyNumberFormat="1" applyFont="1" applyFill="1" applyBorder="1" applyAlignment="1" applyProtection="1">
      <alignment horizontal="center"/>
      <protection/>
    </xf>
    <xf numFmtId="1" fontId="0" fillId="23" borderId="0" xfId="0" applyNumberFormat="1" applyFill="1" applyAlignment="1">
      <alignment horizontal="center" vertical="center"/>
    </xf>
    <xf numFmtId="0" fontId="0" fillId="23" borderId="0" xfId="0" applyNumberFormat="1" applyFill="1" applyAlignment="1">
      <alignment vertical="center"/>
    </xf>
    <xf numFmtId="1" fontId="0" fillId="23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/>
    </xf>
    <xf numFmtId="173" fontId="21" fillId="0" borderId="14" xfId="84" applyNumberFormat="1" applyFont="1" applyFill="1" applyBorder="1" applyAlignment="1" applyProtection="1">
      <alignment horizontal="center"/>
      <protection/>
    </xf>
    <xf numFmtId="173" fontId="0" fillId="0" borderId="14" xfId="84" applyNumberFormat="1" applyFont="1" applyFill="1" applyBorder="1" applyAlignment="1" applyProtection="1">
      <alignment horizontal="center"/>
      <protection/>
    </xf>
    <xf numFmtId="0" fontId="0" fillId="23" borderId="16" xfId="0" applyNumberFormat="1" applyFill="1" applyBorder="1" applyAlignment="1">
      <alignment/>
    </xf>
    <xf numFmtId="0" fontId="22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/>
    </xf>
    <xf numFmtId="9" fontId="23" fillId="0" borderId="14" xfId="72" applyNumberFormat="1" applyFont="1" applyFill="1" applyBorder="1" applyAlignment="1" applyProtection="1">
      <alignment/>
      <protection/>
    </xf>
    <xf numFmtId="9" fontId="21" fillId="0" borderId="14" xfId="72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>
      <alignment/>
    </xf>
    <xf numFmtId="173" fontId="23" fillId="0" borderId="0" xfId="0" applyNumberFormat="1" applyFont="1" applyFill="1" applyAlignment="1">
      <alignment/>
    </xf>
    <xf numFmtId="2" fontId="23" fillId="0" borderId="14" xfId="0" applyNumberFormat="1" applyFont="1" applyFill="1" applyBorder="1" applyAlignment="1">
      <alignment/>
    </xf>
    <xf numFmtId="0" fontId="23" fillId="0" borderId="0" xfId="0" applyNumberFormat="1" applyFont="1" applyFill="1" applyAlignment="1">
      <alignment/>
    </xf>
    <xf numFmtId="0" fontId="24" fillId="0" borderId="11" xfId="68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 wrapText="1"/>
    </xf>
    <xf numFmtId="0" fontId="0" fillId="39" borderId="14" xfId="0" applyNumberFormat="1" applyFont="1" applyFill="1" applyBorder="1" applyAlignment="1">
      <alignment horizontal="center" vertical="center"/>
    </xf>
    <xf numFmtId="1" fontId="0" fillId="40" borderId="14" xfId="0" applyNumberFormat="1" applyFill="1" applyBorder="1" applyAlignment="1" applyProtection="1">
      <alignment/>
      <protection locked="0"/>
    </xf>
    <xf numFmtId="0" fontId="0" fillId="40" borderId="14" xfId="0" applyNumberFormat="1" applyFill="1" applyBorder="1" applyAlignment="1" applyProtection="1">
      <alignment/>
      <protection locked="0"/>
    </xf>
    <xf numFmtId="1" fontId="17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40" borderId="14" xfId="0" applyNumberFormat="1" applyFill="1" applyBorder="1" applyAlignment="1">
      <alignment/>
    </xf>
    <xf numFmtId="0" fontId="0" fillId="40" borderId="14" xfId="0" applyNumberFormat="1" applyFill="1" applyBorder="1" applyAlignment="1">
      <alignment horizontal="center" wrapText="1"/>
    </xf>
    <xf numFmtId="9" fontId="0" fillId="0" borderId="14" xfId="72" applyNumberFormat="1" applyFont="1" applyFill="1" applyBorder="1" applyAlignment="1" applyProtection="1">
      <alignment/>
      <protection/>
    </xf>
    <xf numFmtId="9" fontId="0" fillId="0" borderId="14" xfId="72" applyNumberFormat="1" applyFont="1" applyFill="1" applyBorder="1" applyAlignment="1" applyProtection="1">
      <alignment horizontal="center"/>
      <protection/>
    </xf>
    <xf numFmtId="0" fontId="8" fillId="23" borderId="0" xfId="71" applyNumberFormat="1" applyFont="1" applyFill="1" applyBorder="1" applyAlignment="1" applyProtection="1">
      <alignment/>
      <protection/>
    </xf>
    <xf numFmtId="0" fontId="8" fillId="23" borderId="0" xfId="71" applyFont="1" applyFill="1" applyBorder="1" applyAlignment="1" applyProtection="1">
      <alignment horizontal="center" vertical="center"/>
      <protection/>
    </xf>
    <xf numFmtId="0" fontId="8" fillId="0" borderId="0" xfId="71" applyFont="1" applyBorder="1" applyAlignment="1" applyProtection="1">
      <alignment horizontal="left" vertical="center" wrapText="1"/>
      <protection/>
    </xf>
    <xf numFmtId="0" fontId="27" fillId="23" borderId="0" xfId="0" applyNumberFormat="1" applyFont="1" applyFill="1" applyAlignment="1">
      <alignment horizontal="center" vertical="center"/>
    </xf>
    <xf numFmtId="0" fontId="17" fillId="23" borderId="14" xfId="0" applyNumberFormat="1" applyFont="1" applyFill="1" applyBorder="1" applyAlignment="1">
      <alignment horizontal="center" vertical="center"/>
    </xf>
    <xf numFmtId="0" fontId="0" fillId="23" borderId="14" xfId="0" applyNumberFormat="1" applyFill="1" applyBorder="1" applyAlignment="1">
      <alignment horizontal="center"/>
    </xf>
    <xf numFmtId="9" fontId="0" fillId="23" borderId="14" xfId="72" applyNumberFormat="1" applyFont="1" applyFill="1" applyBorder="1" applyAlignment="1" applyProtection="1">
      <alignment/>
      <protection/>
    </xf>
    <xf numFmtId="2" fontId="0" fillId="23" borderId="14" xfId="0" applyNumberFormat="1" applyFill="1" applyBorder="1" applyAlignment="1">
      <alignment/>
    </xf>
    <xf numFmtId="177" fontId="0" fillId="40" borderId="14" xfId="72" applyNumberFormat="1" applyFont="1" applyFill="1" applyBorder="1" applyAlignment="1" applyProtection="1">
      <alignment horizontal="center"/>
      <protection locked="0"/>
    </xf>
    <xf numFmtId="0" fontId="0" fillId="23" borderId="17" xfId="0" applyNumberFormat="1" applyFill="1" applyBorder="1" applyAlignment="1">
      <alignment/>
    </xf>
    <xf numFmtId="0" fontId="28" fillId="23" borderId="0" xfId="0" applyNumberFormat="1" applyFont="1" applyFill="1" applyAlignment="1">
      <alignment/>
    </xf>
    <xf numFmtId="0" fontId="29" fillId="41" borderId="18" xfId="0" applyNumberFormat="1" applyFont="1" applyFill="1" applyBorder="1" applyAlignment="1">
      <alignment horizontal="center" vertical="center" wrapText="1"/>
    </xf>
    <xf numFmtId="0" fontId="29" fillId="41" borderId="19" xfId="0" applyNumberFormat="1" applyFont="1" applyFill="1" applyBorder="1" applyAlignment="1">
      <alignment horizontal="center" vertical="center" wrapText="1"/>
    </xf>
    <xf numFmtId="0" fontId="30" fillId="41" borderId="18" xfId="0" applyNumberFormat="1" applyFont="1" applyFill="1" applyBorder="1" applyAlignment="1">
      <alignment horizontal="center" vertical="center" wrapText="1"/>
    </xf>
    <xf numFmtId="0" fontId="28" fillId="23" borderId="11" xfId="68" applyNumberFormat="1" applyFont="1" applyFill="1" applyBorder="1" applyAlignment="1" applyProtection="1">
      <alignment horizontal="left" wrapText="1"/>
      <protection/>
    </xf>
    <xf numFmtId="0" fontId="28" fillId="23" borderId="0" xfId="0" applyNumberFormat="1" applyFont="1" applyFill="1" applyAlignment="1">
      <alignment horizontal="center" vertical="center"/>
    </xf>
    <xf numFmtId="0" fontId="28" fillId="23" borderId="0" xfId="0" applyNumberFormat="1" applyFont="1" applyFill="1" applyAlignment="1">
      <alignment horizontal="left" vertical="center" wrapText="1"/>
    </xf>
    <xf numFmtId="0" fontId="28" fillId="0" borderId="0" xfId="0" applyNumberFormat="1" applyFont="1" applyAlignment="1">
      <alignment/>
    </xf>
    <xf numFmtId="37" fontId="17" fillId="41" borderId="20" xfId="0" applyNumberFormat="1" applyFont="1" applyFill="1" applyBorder="1" applyAlignment="1" applyProtection="1">
      <alignment horizontal="center" vertical="center"/>
      <protection locked="0"/>
    </xf>
    <xf numFmtId="37" fontId="20" fillId="41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>
      <alignment vertical="center"/>
    </xf>
    <xf numFmtId="37" fontId="20" fillId="41" borderId="20" xfId="0" applyNumberFormat="1" applyFont="1" applyFill="1" applyBorder="1" applyAlignment="1" applyProtection="1">
      <alignment horizontal="center" vertical="center"/>
      <protection locked="0"/>
    </xf>
    <xf numFmtId="37" fontId="31" fillId="41" borderId="22" xfId="0" applyNumberFormat="1" applyFont="1" applyFill="1" applyBorder="1" applyAlignment="1" applyProtection="1">
      <alignment horizontal="center" vertical="center"/>
      <protection locked="0"/>
    </xf>
    <xf numFmtId="37" fontId="19" fillId="41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/>
    </xf>
    <xf numFmtId="0" fontId="32" fillId="23" borderId="0" xfId="0" applyNumberFormat="1" applyFont="1" applyFill="1" applyAlignment="1">
      <alignment horizontal="left"/>
    </xf>
    <xf numFmtId="9" fontId="0" fillId="23" borderId="0" xfId="72" applyNumberFormat="1" applyFill="1" applyBorder="1" applyAlignment="1" applyProtection="1">
      <alignment/>
      <protection/>
    </xf>
    <xf numFmtId="0" fontId="17" fillId="23" borderId="0" xfId="0" applyNumberFormat="1" applyFont="1" applyFill="1" applyAlignment="1">
      <alignment/>
    </xf>
    <xf numFmtId="178" fontId="0" fillId="23" borderId="0" xfId="0" applyNumberFormat="1" applyFill="1" applyAlignment="1">
      <alignment/>
    </xf>
    <xf numFmtId="0" fontId="21" fillId="23" borderId="0" xfId="0" applyNumberFormat="1" applyFont="1" applyFill="1" applyAlignment="1">
      <alignment/>
    </xf>
    <xf numFmtId="0" fontId="34" fillId="23" borderId="0" xfId="0" applyNumberFormat="1" applyFont="1" applyFill="1" applyAlignment="1" applyProtection="1">
      <alignment horizontal="left"/>
      <protection locked="0"/>
    </xf>
    <xf numFmtId="0" fontId="36" fillId="23" borderId="0" xfId="0" applyNumberFormat="1" applyFont="1" applyFill="1" applyAlignment="1">
      <alignment/>
    </xf>
    <xf numFmtId="0" fontId="34" fillId="23" borderId="0" xfId="0" applyNumberFormat="1" applyFont="1" applyFill="1" applyAlignment="1">
      <alignment/>
    </xf>
    <xf numFmtId="178" fontId="36" fillId="23" borderId="0" xfId="0" applyNumberFormat="1" applyFont="1" applyFill="1" applyAlignment="1">
      <alignment/>
    </xf>
    <xf numFmtId="0" fontId="33" fillId="23" borderId="23" xfId="0" applyNumberFormat="1" applyFont="1" applyFill="1" applyBorder="1" applyAlignment="1">
      <alignment horizontal="center"/>
    </xf>
    <xf numFmtId="0" fontId="17" fillId="23" borderId="0" xfId="0" applyNumberFormat="1" applyFont="1" applyFill="1" applyAlignment="1">
      <alignment horizontal="left"/>
    </xf>
    <xf numFmtId="0" fontId="38" fillId="42" borderId="14" xfId="0" applyNumberFormat="1" applyFont="1" applyFill="1" applyBorder="1" applyAlignment="1">
      <alignment horizontal="center" vertical="center" wrapText="1"/>
    </xf>
    <xf numFmtId="0" fontId="39" fillId="42" borderId="14" xfId="0" applyNumberFormat="1" applyFont="1" applyFill="1" applyBorder="1" applyAlignment="1">
      <alignment horizontal="center" vertical="center" wrapText="1"/>
    </xf>
    <xf numFmtId="9" fontId="38" fillId="42" borderId="14" xfId="7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38" fillId="42" borderId="14" xfId="0" applyNumberFormat="1" applyFont="1" applyFill="1" applyBorder="1" applyAlignment="1">
      <alignment horizontal="left" vertical="center" wrapText="1"/>
    </xf>
    <xf numFmtId="0" fontId="39" fillId="42" borderId="24" xfId="0" applyNumberFormat="1" applyFont="1" applyFill="1" applyBorder="1" applyAlignment="1">
      <alignment horizontal="center" vertical="center" wrapText="1"/>
    </xf>
    <xf numFmtId="0" fontId="14" fillId="42" borderId="14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180" fontId="41" fillId="39" borderId="14" xfId="0" applyNumberFormat="1" applyFont="1" applyFill="1" applyBorder="1" applyAlignment="1">
      <alignment horizontal="left"/>
    </xf>
    <xf numFmtId="176" fontId="42" fillId="43" borderId="14" xfId="84" applyNumberFormat="1" applyFont="1" applyFill="1" applyBorder="1" applyAlignment="1" applyProtection="1">
      <alignment horizontal="center"/>
      <protection/>
    </xf>
    <xf numFmtId="176" fontId="42" fillId="43" borderId="14" xfId="0" applyNumberFormat="1" applyFont="1" applyFill="1" applyBorder="1" applyAlignment="1">
      <alignment horizontal="center"/>
    </xf>
    <xf numFmtId="9" fontId="41" fillId="43" borderId="14" xfId="72" applyNumberFormat="1" applyFont="1" applyFill="1" applyBorder="1" applyAlignment="1" applyProtection="1">
      <alignment horizontal="center"/>
      <protection/>
    </xf>
    <xf numFmtId="3" fontId="41" fillId="44" borderId="14" xfId="0" applyNumberFormat="1" applyFont="1" applyFill="1" applyBorder="1" applyAlignment="1" applyProtection="1">
      <alignment horizontal="center"/>
      <protection locked="0"/>
    </xf>
    <xf numFmtId="4" fontId="42" fillId="43" borderId="14" xfId="0" applyNumberFormat="1" applyFont="1" applyFill="1" applyBorder="1" applyAlignment="1">
      <alignment horizontal="center"/>
    </xf>
    <xf numFmtId="9" fontId="32" fillId="44" borderId="14" xfId="72" applyNumberFormat="1" applyFont="1" applyFill="1" applyBorder="1" applyAlignment="1" applyProtection="1">
      <alignment horizontal="center"/>
      <protection locked="0"/>
    </xf>
    <xf numFmtId="9" fontId="41" fillId="44" borderId="14" xfId="72" applyNumberFormat="1" applyFont="1" applyFill="1" applyBorder="1" applyAlignment="1" applyProtection="1">
      <alignment horizontal="center"/>
      <protection locked="0"/>
    </xf>
    <xf numFmtId="3" fontId="41" fillId="43" borderId="14" xfId="0" applyNumberFormat="1" applyFont="1" applyFill="1" applyBorder="1" applyAlignment="1">
      <alignment horizontal="center"/>
    </xf>
    <xf numFmtId="178" fontId="41" fillId="43" borderId="14" xfId="0" applyNumberFormat="1" applyFont="1" applyFill="1" applyBorder="1" applyAlignment="1">
      <alignment horizontal="center"/>
    </xf>
    <xf numFmtId="4" fontId="41" fillId="44" borderId="14" xfId="0" applyNumberFormat="1" applyFont="1" applyFill="1" applyBorder="1" applyAlignment="1" applyProtection="1">
      <alignment horizontal="center"/>
      <protection locked="0"/>
    </xf>
    <xf numFmtId="3" fontId="41" fillId="0" borderId="0" xfId="0" applyNumberFormat="1" applyFont="1" applyFill="1" applyBorder="1" applyAlignment="1" applyProtection="1">
      <alignment horizontal="center"/>
      <protection locked="0"/>
    </xf>
    <xf numFmtId="3" fontId="32" fillId="41" borderId="14" xfId="0" applyNumberFormat="1" applyFont="1" applyFill="1" applyBorder="1" applyAlignment="1" applyProtection="1">
      <alignment horizontal="center"/>
      <protection locked="0"/>
    </xf>
    <xf numFmtId="10" fontId="0" fillId="41" borderId="0" xfId="72" applyNumberFormat="1" applyFill="1" applyBorder="1" applyAlignment="1" applyProtection="1">
      <alignment horizontal="center"/>
      <protection/>
    </xf>
    <xf numFmtId="9" fontId="28" fillId="0" borderId="0" xfId="72" applyFont="1" applyBorder="1" applyProtection="1">
      <alignment/>
      <protection/>
    </xf>
    <xf numFmtId="3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180" fontId="32" fillId="39" borderId="14" xfId="0" applyNumberFormat="1" applyFont="1" applyFill="1" applyBorder="1" applyAlignment="1">
      <alignment horizontal="left"/>
    </xf>
    <xf numFmtId="9" fontId="32" fillId="43" borderId="14" xfId="72" applyNumberFormat="1" applyFont="1" applyFill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/>
      <protection locked="0"/>
    </xf>
    <xf numFmtId="3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44" fillId="45" borderId="25" xfId="0" applyNumberFormat="1" applyFont="1" applyFill="1" applyBorder="1" applyAlignment="1">
      <alignment horizontal="left"/>
    </xf>
    <xf numFmtId="3" fontId="44" fillId="45" borderId="14" xfId="0" applyNumberFormat="1" applyFont="1" applyFill="1" applyBorder="1" applyAlignment="1">
      <alignment horizontal="center"/>
    </xf>
    <xf numFmtId="9" fontId="44" fillId="45" borderId="14" xfId="72" applyNumberFormat="1" applyFont="1" applyFill="1" applyBorder="1" applyAlignment="1" applyProtection="1">
      <alignment horizontal="center"/>
      <protection/>
    </xf>
    <xf numFmtId="4" fontId="44" fillId="45" borderId="14" xfId="0" applyNumberFormat="1" applyFont="1" applyFill="1" applyBorder="1" applyAlignment="1">
      <alignment horizontal="center"/>
    </xf>
    <xf numFmtId="3" fontId="44" fillId="45" borderId="16" xfId="0" applyNumberFormat="1" applyFont="1" applyFill="1" applyBorder="1" applyAlignment="1">
      <alignment horizontal="center"/>
    </xf>
    <xf numFmtId="178" fontId="44" fillId="45" borderId="16" xfId="0" applyNumberFormat="1" applyFont="1" applyFill="1" applyBorder="1" applyAlignment="1">
      <alignment horizontal="center"/>
    </xf>
    <xf numFmtId="4" fontId="44" fillId="45" borderId="16" xfId="0" applyNumberFormat="1" applyFont="1" applyFill="1" applyBorder="1" applyAlignment="1">
      <alignment horizontal="center"/>
    </xf>
    <xf numFmtId="3" fontId="42" fillId="43" borderId="14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/>
    </xf>
    <xf numFmtId="10" fontId="44" fillId="45" borderId="14" xfId="72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left"/>
    </xf>
    <xf numFmtId="0" fontId="43" fillId="0" borderId="0" xfId="0" applyFont="1" applyFill="1" applyAlignment="1">
      <alignment/>
    </xf>
    <xf numFmtId="3" fontId="43" fillId="0" borderId="0" xfId="0" applyNumberFormat="1" applyFont="1" applyFill="1" applyAlignment="1">
      <alignment/>
    </xf>
    <xf numFmtId="9" fontId="0" fillId="0" borderId="0" xfId="0" applyNumberFormat="1" applyAlignment="1">
      <alignment/>
    </xf>
    <xf numFmtId="0" fontId="45" fillId="0" borderId="0" xfId="0" applyFont="1" applyAlignment="1">
      <alignment/>
    </xf>
    <xf numFmtId="3" fontId="1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27" xfId="0" applyFont="1" applyBorder="1" applyAlignment="1">
      <alignment horizontal="center"/>
    </xf>
    <xf numFmtId="3" fontId="46" fillId="0" borderId="28" xfId="0" applyNumberFormat="1" applyFont="1" applyBorder="1" applyAlignment="1">
      <alignment horizontal="center"/>
    </xf>
    <xf numFmtId="0" fontId="46" fillId="46" borderId="27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1" fontId="50" fillId="0" borderId="12" xfId="0" applyNumberFormat="1" applyFont="1" applyBorder="1" applyAlignment="1">
      <alignment horizontal="center"/>
    </xf>
    <xf numFmtId="1" fontId="51" fillId="0" borderId="12" xfId="84" applyNumberFormat="1" applyFont="1" applyFill="1" applyBorder="1" applyAlignment="1" applyProtection="1">
      <alignment horizontal="center"/>
      <protection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12" xfId="0" applyFont="1" applyBorder="1" applyAlignment="1">
      <alignment horizontal="center" vertical="center"/>
    </xf>
    <xf numFmtId="3" fontId="1" fillId="40" borderId="12" xfId="0" applyNumberFormat="1" applyFont="1" applyFill="1" applyBorder="1" applyAlignment="1">
      <alignment horizontal="center"/>
    </xf>
    <xf numFmtId="3" fontId="1" fillId="40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81" fontId="49" fillId="41" borderId="12" xfId="84" applyNumberFormat="1" applyFont="1" applyFill="1" applyBorder="1" applyAlignment="1" applyProtection="1">
      <alignment horizontal="center"/>
      <protection/>
    </xf>
    <xf numFmtId="3" fontId="1" fillId="23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1" fontId="48" fillId="0" borderId="30" xfId="84" applyNumberFormat="1" applyFont="1" applyFill="1" applyBorder="1" applyAlignment="1" applyProtection="1">
      <alignment horizontal="center"/>
      <protection/>
    </xf>
    <xf numFmtId="38" fontId="48" fillId="0" borderId="31" xfId="0" applyNumberFormat="1" applyFont="1" applyFill="1" applyBorder="1" applyAlignment="1">
      <alignment horizontal="center"/>
    </xf>
    <xf numFmtId="181" fontId="48" fillId="0" borderId="0" xfId="84" applyNumberFormat="1" applyFont="1" applyFill="1" applyBorder="1" applyAlignment="1" applyProtection="1">
      <alignment horizontal="center"/>
      <protection/>
    </xf>
    <xf numFmtId="3" fontId="48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3" fontId="46" fillId="0" borderId="2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/>
    </xf>
    <xf numFmtId="0" fontId="52" fillId="0" borderId="12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3" fontId="1" fillId="47" borderId="12" xfId="0" applyNumberFormat="1" applyFont="1" applyFill="1" applyBorder="1" applyAlignment="1">
      <alignment horizontal="center"/>
    </xf>
    <xf numFmtId="38" fontId="1" fillId="0" borderId="12" xfId="84" applyNumberFormat="1" applyFont="1" applyFill="1" applyBorder="1" applyAlignment="1" applyProtection="1">
      <alignment horizontal="center"/>
      <protection/>
    </xf>
    <xf numFmtId="38" fontId="1" fillId="0" borderId="12" xfId="0" applyNumberFormat="1" applyFont="1" applyFill="1" applyBorder="1" applyAlignment="1">
      <alignment horizontal="center"/>
    </xf>
    <xf numFmtId="182" fontId="6" fillId="0" borderId="0" xfId="0" applyNumberFormat="1" applyFont="1" applyAlignment="1">
      <alignment/>
    </xf>
    <xf numFmtId="38" fontId="1" fillId="0" borderId="12" xfId="0" applyNumberFormat="1" applyFont="1" applyFill="1" applyBorder="1" applyAlignment="1">
      <alignment/>
    </xf>
    <xf numFmtId="38" fontId="16" fillId="0" borderId="1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12" fillId="0" borderId="33" xfId="0" applyFont="1" applyBorder="1" applyAlignment="1">
      <alignment horizontal="left"/>
    </xf>
    <xf numFmtId="0" fontId="43" fillId="0" borderId="33" xfId="0" applyFont="1" applyFill="1" applyBorder="1" applyAlignment="1">
      <alignment/>
    </xf>
    <xf numFmtId="3" fontId="43" fillId="0" borderId="33" xfId="0" applyNumberFormat="1" applyFont="1" applyFill="1" applyBorder="1" applyAlignment="1">
      <alignment/>
    </xf>
    <xf numFmtId="1" fontId="48" fillId="0" borderId="12" xfId="84" applyNumberFormat="1" applyFont="1" applyFill="1" applyBorder="1" applyAlignment="1" applyProtection="1">
      <alignment horizontal="center"/>
      <protection/>
    </xf>
    <xf numFmtId="3" fontId="48" fillId="41" borderId="12" xfId="0" applyNumberFormat="1" applyFont="1" applyFill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5" fillId="0" borderId="0" xfId="71" applyFont="1" applyBorder="1" applyAlignment="1" applyProtection="1">
      <alignment/>
      <protection/>
    </xf>
    <xf numFmtId="3" fontId="1" fillId="0" borderId="28" xfId="0" applyNumberFormat="1" applyFont="1" applyFill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6" fillId="4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3" fontId="46" fillId="46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6" fillId="48" borderId="12" xfId="0" applyFont="1" applyFill="1" applyBorder="1" applyAlignment="1">
      <alignment horizontal="center"/>
    </xf>
    <xf numFmtId="0" fontId="55" fillId="48" borderId="12" xfId="0" applyFont="1" applyFill="1" applyBorder="1" applyAlignment="1">
      <alignment horizontal="center"/>
    </xf>
    <xf numFmtId="0" fontId="54" fillId="46" borderId="12" xfId="0" applyFont="1" applyFill="1" applyBorder="1" applyAlignment="1">
      <alignment horizontal="center"/>
    </xf>
    <xf numFmtId="0" fontId="56" fillId="46" borderId="12" xfId="0" applyFont="1" applyFill="1" applyBorder="1" applyAlignment="1">
      <alignment horizontal="center"/>
    </xf>
    <xf numFmtId="49" fontId="56" fillId="46" borderId="12" xfId="0" applyNumberFormat="1" applyFont="1" applyFill="1" applyBorder="1" applyAlignment="1">
      <alignment horizontal="center"/>
    </xf>
    <xf numFmtId="1" fontId="1" fillId="0" borderId="34" xfId="71" applyNumberFormat="1" applyFont="1" applyBorder="1" applyAlignment="1" applyProtection="1">
      <alignment horizontal="left"/>
      <protection/>
    </xf>
    <xf numFmtId="1" fontId="1" fillId="0" borderId="34" xfId="71" applyNumberFormat="1" applyFont="1" applyBorder="1" applyAlignment="1" applyProtection="1">
      <alignment horizontal="center"/>
      <protection/>
    </xf>
    <xf numFmtId="0" fontId="16" fillId="0" borderId="34" xfId="71" applyFont="1" applyBorder="1" applyAlignment="1" applyProtection="1">
      <alignment horizontal="center"/>
      <protection/>
    </xf>
    <xf numFmtId="0" fontId="58" fillId="46" borderId="34" xfId="71" applyFont="1" applyFill="1" applyBorder="1" applyAlignment="1" applyProtection="1">
      <alignment horizontal="center"/>
      <protection/>
    </xf>
    <xf numFmtId="3" fontId="1" fillId="0" borderId="34" xfId="71" applyNumberFormat="1" applyFont="1" applyBorder="1" applyAlignment="1" applyProtection="1">
      <alignment horizontal="center"/>
      <protection/>
    </xf>
    <xf numFmtId="3" fontId="1" fillId="48" borderId="34" xfId="71" applyNumberFormat="1" applyFont="1" applyFill="1" applyBorder="1" applyAlignment="1" applyProtection="1">
      <alignment horizontal="center"/>
      <protection/>
    </xf>
    <xf numFmtId="3" fontId="46" fillId="46" borderId="34" xfId="71" applyNumberFormat="1" applyFont="1" applyFill="1" applyBorder="1" applyAlignment="1" applyProtection="1">
      <alignment horizontal="center"/>
      <protection/>
    </xf>
    <xf numFmtId="3" fontId="6" fillId="46" borderId="1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1" fontId="50" fillId="0" borderId="34" xfId="71" applyNumberFormat="1" applyFont="1" applyBorder="1" applyAlignment="1" applyProtection="1">
      <alignment horizontal="left"/>
      <protection/>
    </xf>
    <xf numFmtId="1" fontId="50" fillId="0" borderId="34" xfId="71" applyNumberFormat="1" applyFont="1" applyBorder="1" applyAlignment="1" applyProtection="1">
      <alignment horizontal="center"/>
      <protection/>
    </xf>
    <xf numFmtId="3" fontId="16" fillId="0" borderId="34" xfId="71" applyNumberFormat="1" applyFont="1" applyBorder="1" applyAlignment="1" applyProtection="1">
      <alignment horizontal="center"/>
      <protection/>
    </xf>
    <xf numFmtId="3" fontId="58" fillId="46" borderId="34" xfId="71" applyNumberFormat="1" applyFont="1" applyFill="1" applyBorder="1" applyAlignment="1" applyProtection="1">
      <alignment horizontal="center"/>
      <protection/>
    </xf>
    <xf numFmtId="1" fontId="46" fillId="48" borderId="12" xfId="0" applyNumberFormat="1" applyFont="1" applyFill="1" applyBorder="1" applyAlignment="1">
      <alignment horizontal="center"/>
    </xf>
    <xf numFmtId="3" fontId="54" fillId="0" borderId="12" xfId="0" applyNumberFormat="1" applyFont="1" applyFill="1" applyBorder="1" applyAlignment="1">
      <alignment horizontal="center"/>
    </xf>
    <xf numFmtId="3" fontId="54" fillId="46" borderId="12" xfId="0" applyNumberFormat="1" applyFont="1" applyFill="1" applyBorder="1" applyAlignment="1">
      <alignment horizontal="center"/>
    </xf>
    <xf numFmtId="3" fontId="54" fillId="48" borderId="12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59" fillId="0" borderId="13" xfId="0" applyFont="1" applyBorder="1" applyAlignment="1">
      <alignment/>
    </xf>
    <xf numFmtId="0" fontId="60" fillId="0" borderId="13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/>
    </xf>
    <xf numFmtId="0" fontId="56" fillId="41" borderId="12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4" fontId="16" fillId="0" borderId="34" xfId="71" applyNumberFormat="1" applyFont="1" applyBorder="1" applyAlignment="1" applyProtection="1">
      <alignment horizontal="center"/>
      <protection/>
    </xf>
    <xf numFmtId="0" fontId="58" fillId="0" borderId="0" xfId="71" applyFont="1" applyFill="1" applyBorder="1" applyAlignment="1" applyProtection="1">
      <alignment horizontal="center"/>
      <protection/>
    </xf>
    <xf numFmtId="4" fontId="1" fillId="0" borderId="34" xfId="71" applyNumberFormat="1" applyFont="1" applyBorder="1" applyAlignment="1" applyProtection="1">
      <alignment horizontal="center"/>
      <protection/>
    </xf>
    <xf numFmtId="3" fontId="58" fillId="0" borderId="0" xfId="71" applyNumberFormat="1" applyFont="1" applyFill="1" applyBorder="1" applyAlignment="1" applyProtection="1">
      <alignment horizontal="center"/>
      <protection/>
    </xf>
    <xf numFmtId="3" fontId="54" fillId="0" borderId="0" xfId="0" applyNumberFormat="1" applyFont="1" applyFill="1" applyBorder="1" applyAlignment="1">
      <alignment horizontal="center"/>
    </xf>
    <xf numFmtId="0" fontId="7" fillId="23" borderId="0" xfId="69" applyNumberFormat="1" applyFont="1" applyFill="1" applyBorder="1" applyAlignment="1" applyProtection="1">
      <alignment/>
      <protection/>
    </xf>
    <xf numFmtId="0" fontId="39" fillId="42" borderId="24" xfId="0" applyNumberFormat="1" applyFont="1" applyFill="1" applyBorder="1" applyAlignment="1">
      <alignment horizontal="center" vertical="center"/>
    </xf>
    <xf numFmtId="180" fontId="17" fillId="43" borderId="35" xfId="0" applyNumberFormat="1" applyFont="1" applyFill="1" applyBorder="1" applyAlignment="1">
      <alignment horizontal="left"/>
    </xf>
    <xf numFmtId="9" fontId="62" fillId="43" borderId="35" xfId="72" applyNumberFormat="1" applyFont="1" applyFill="1" applyBorder="1" applyAlignment="1" applyProtection="1">
      <alignment horizontal="center" vertical="center"/>
      <protection/>
    </xf>
    <xf numFmtId="3" fontId="62" fillId="44" borderId="35" xfId="0" applyNumberFormat="1" applyFont="1" applyFill="1" applyBorder="1" applyAlignment="1">
      <alignment horizontal="center"/>
    </xf>
    <xf numFmtId="176" fontId="62" fillId="43" borderId="35" xfId="84" applyNumberFormat="1" applyFont="1" applyFill="1" applyBorder="1" applyAlignment="1" applyProtection="1">
      <alignment horizontal="center" vertical="center"/>
      <protection/>
    </xf>
    <xf numFmtId="0" fontId="63" fillId="0" borderId="0" xfId="69" applyNumberFormat="1" applyFont="1" applyFill="1" applyBorder="1" applyAlignment="1" applyProtection="1">
      <alignment horizontal="center" vertical="center" wrapText="1"/>
      <protection/>
    </xf>
    <xf numFmtId="180" fontId="17" fillId="0" borderId="14" xfId="0" applyNumberFormat="1" applyFont="1" applyFill="1" applyBorder="1" applyAlignment="1">
      <alignment horizontal="right"/>
    </xf>
    <xf numFmtId="176" fontId="17" fillId="39" borderId="35" xfId="84" applyNumberFormat="1" applyFont="1" applyFill="1" applyBorder="1" applyAlignment="1" applyProtection="1">
      <alignment horizontal="center" vertical="center"/>
      <protection/>
    </xf>
    <xf numFmtId="9" fontId="17" fillId="39" borderId="35" xfId="72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30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184" fontId="6" fillId="0" borderId="0" xfId="84" applyNumberFormat="1" applyFont="1" applyFill="1" applyBorder="1" applyAlignment="1" applyProtection="1">
      <alignment/>
      <protection/>
    </xf>
    <xf numFmtId="0" fontId="6" fillId="0" borderId="0" xfId="0" applyNumberFormat="1" applyFont="1" applyAlignment="1">
      <alignment/>
    </xf>
    <xf numFmtId="0" fontId="65" fillId="25" borderId="12" xfId="0" applyNumberFormat="1" applyFont="1" applyFill="1" applyBorder="1" applyAlignment="1">
      <alignment horizontal="center"/>
    </xf>
    <xf numFmtId="0" fontId="65" fillId="25" borderId="26" xfId="0" applyNumberFormat="1" applyFont="1" applyFill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/>
    </xf>
    <xf numFmtId="0" fontId="66" fillId="0" borderId="30" xfId="0" applyNumberFormat="1" applyFont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/>
    </xf>
    <xf numFmtId="0" fontId="6" fillId="0" borderId="34" xfId="0" applyNumberFormat="1" applyFont="1" applyFill="1" applyBorder="1" applyAlignment="1">
      <alignment horizontal="left"/>
    </xf>
    <xf numFmtId="0" fontId="66" fillId="0" borderId="30" xfId="0" applyNumberFormat="1" applyFont="1" applyFill="1" applyBorder="1" applyAlignment="1">
      <alignment horizontal="center"/>
    </xf>
    <xf numFmtId="0" fontId="6" fillId="0" borderId="34" xfId="0" applyNumberFormat="1" applyFont="1" applyBorder="1" applyAlignment="1">
      <alignment horizontal="left"/>
    </xf>
    <xf numFmtId="0" fontId="65" fillId="25" borderId="12" xfId="0" applyNumberFormat="1" applyFont="1" applyFill="1" applyBorder="1" applyAlignment="1">
      <alignment horizontal="left"/>
    </xf>
    <xf numFmtId="0" fontId="65" fillId="25" borderId="27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left"/>
    </xf>
    <xf numFmtId="0" fontId="65" fillId="0" borderId="12" xfId="0" applyNumberFormat="1" applyFont="1" applyBorder="1" applyAlignment="1">
      <alignment horizontal="center"/>
    </xf>
    <xf numFmtId="0" fontId="66" fillId="0" borderId="12" xfId="0" applyNumberFormat="1" applyFont="1" applyBorder="1" applyAlignment="1">
      <alignment horizontal="center"/>
    </xf>
    <xf numFmtId="0" fontId="66" fillId="0" borderId="12" xfId="0" applyNumberFormat="1" applyFont="1" applyBorder="1" applyAlignment="1">
      <alignment/>
    </xf>
    <xf numFmtId="0" fontId="66" fillId="0" borderId="12" xfId="0" applyNumberFormat="1" applyFont="1" applyBorder="1" applyAlignment="1">
      <alignment horizontal="left"/>
    </xf>
    <xf numFmtId="0" fontId="65" fillId="0" borderId="26" xfId="0" applyNumberFormat="1" applyFont="1" applyBorder="1" applyAlignment="1">
      <alignment horizontal="center"/>
    </xf>
    <xf numFmtId="0" fontId="65" fillId="0" borderId="12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/>
    </xf>
    <xf numFmtId="0" fontId="6" fillId="0" borderId="31" xfId="0" applyNumberFormat="1" applyFont="1" applyBorder="1" applyAlignment="1">
      <alignment/>
    </xf>
    <xf numFmtId="0" fontId="66" fillId="0" borderId="31" xfId="0" applyNumberFormat="1" applyFont="1" applyBorder="1" applyAlignment="1">
      <alignment horizontal="center"/>
    </xf>
    <xf numFmtId="0" fontId="66" fillId="0" borderId="12" xfId="0" applyNumberFormat="1" applyFont="1" applyFill="1" applyBorder="1" applyAlignment="1">
      <alignment horizontal="center"/>
    </xf>
    <xf numFmtId="0" fontId="66" fillId="23" borderId="12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0" fillId="0" borderId="36" xfId="0" applyNumberFormat="1" applyBorder="1" applyAlignment="1">
      <alignment/>
    </xf>
    <xf numFmtId="0" fontId="26" fillId="23" borderId="14" xfId="0" applyNumberFormat="1" applyFont="1" applyFill="1" applyBorder="1" applyAlignment="1">
      <alignment horizontal="center" wrapText="1"/>
    </xf>
    <xf numFmtId="0" fontId="17" fillId="39" borderId="14" xfId="0" applyNumberFormat="1" applyFont="1" applyFill="1" applyBorder="1" applyAlignment="1">
      <alignment horizontal="center" vertical="center"/>
    </xf>
    <xf numFmtId="0" fontId="0" fillId="39" borderId="14" xfId="0" applyNumberFormat="1" applyFont="1" applyFill="1" applyBorder="1" applyAlignment="1">
      <alignment horizontal="center" vertical="center"/>
    </xf>
    <xf numFmtId="0" fontId="20" fillId="39" borderId="14" xfId="0" applyNumberFormat="1" applyFont="1" applyFill="1" applyBorder="1" applyAlignment="1">
      <alignment horizontal="center" vertical="center" textRotation="45"/>
    </xf>
    <xf numFmtId="0" fontId="0" fillId="39" borderId="14" xfId="0" applyNumberFormat="1" applyFont="1" applyFill="1" applyBorder="1" applyAlignment="1">
      <alignment horizontal="center" vertical="center" wrapText="1"/>
    </xf>
    <xf numFmtId="0" fontId="17" fillId="39" borderId="0" xfId="0" applyNumberFormat="1" applyFont="1" applyFill="1" applyBorder="1" applyAlignment="1">
      <alignment horizontal="center" vertical="center" wrapText="1"/>
    </xf>
    <xf numFmtId="37" fontId="19" fillId="40" borderId="14" xfId="0" applyNumberFormat="1" applyFont="1" applyFill="1" applyBorder="1" applyAlignment="1" applyProtection="1">
      <alignment horizontal="center" vertical="center"/>
      <protection locked="0"/>
    </xf>
    <xf numFmtId="0" fontId="0" fillId="23" borderId="37" xfId="0" applyNumberFormat="1" applyFill="1" applyBorder="1" applyAlignment="1">
      <alignment/>
    </xf>
    <xf numFmtId="0" fontId="17" fillId="39" borderId="14" xfId="0" applyNumberFormat="1" applyFont="1" applyFill="1" applyBorder="1" applyAlignment="1">
      <alignment horizontal="center"/>
    </xf>
    <xf numFmtId="0" fontId="17" fillId="39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23" borderId="0" xfId="0" applyNumberFormat="1" applyFill="1" applyBorder="1" applyAlignment="1">
      <alignment/>
    </xf>
    <xf numFmtId="0" fontId="38" fillId="42" borderId="14" xfId="0" applyNumberFormat="1" applyFont="1" applyFill="1" applyBorder="1" applyAlignment="1">
      <alignment horizontal="center" vertical="center" wrapText="1"/>
    </xf>
    <xf numFmtId="0" fontId="39" fillId="42" borderId="14" xfId="0" applyNumberFormat="1" applyFont="1" applyFill="1" applyBorder="1" applyAlignment="1">
      <alignment horizontal="center" vertical="center" wrapText="1"/>
    </xf>
    <xf numFmtId="9" fontId="38" fillId="42" borderId="14" xfId="72" applyNumberFormat="1" applyFont="1" applyFill="1" applyBorder="1" applyAlignment="1" applyProtection="1">
      <alignment horizontal="center" vertical="center" wrapText="1"/>
      <protection/>
    </xf>
    <xf numFmtId="179" fontId="38" fillId="42" borderId="24" xfId="0" applyNumberFormat="1" applyFont="1" applyFill="1" applyBorder="1" applyAlignment="1">
      <alignment horizontal="center" vertical="center" wrapText="1"/>
    </xf>
    <xf numFmtId="179" fontId="38" fillId="42" borderId="14" xfId="0" applyNumberFormat="1" applyFont="1" applyFill="1" applyBorder="1" applyAlignment="1">
      <alignment horizontal="center" vertical="center" wrapText="1"/>
    </xf>
    <xf numFmtId="0" fontId="40" fillId="42" borderId="24" xfId="0" applyNumberFormat="1" applyFont="1" applyFill="1" applyBorder="1" applyAlignment="1">
      <alignment horizontal="center" vertical="center" wrapText="1"/>
    </xf>
    <xf numFmtId="0" fontId="14" fillId="42" borderId="24" xfId="0" applyNumberFormat="1" applyFont="1" applyFill="1" applyBorder="1" applyAlignment="1">
      <alignment horizontal="center" vertical="center" wrapText="1"/>
    </xf>
    <xf numFmtId="0" fontId="33" fillId="23" borderId="12" xfId="0" applyNumberFormat="1" applyFont="1" applyFill="1" applyBorder="1" applyAlignment="1">
      <alignment horizontal="center" vertical="center"/>
    </xf>
    <xf numFmtId="0" fontId="37" fillId="0" borderId="12" xfId="0" applyNumberFormat="1" applyFont="1" applyBorder="1" applyAlignment="1">
      <alignment horizontal="center" vertical="center" wrapText="1"/>
    </xf>
    <xf numFmtId="0" fontId="46" fillId="46" borderId="0" xfId="0" applyFont="1" applyFill="1" applyBorder="1" applyAlignment="1">
      <alignment horizontal="center" vertical="center" wrapText="1"/>
    </xf>
    <xf numFmtId="3" fontId="46" fillId="46" borderId="0" xfId="0" applyNumberFormat="1" applyFont="1" applyFill="1" applyBorder="1" applyAlignment="1">
      <alignment horizontal="center"/>
    </xf>
    <xf numFmtId="10" fontId="53" fillId="0" borderId="0" xfId="0" applyNumberFormat="1" applyFont="1" applyFill="1" applyBorder="1" applyAlignment="1">
      <alignment horizontal="center" vertical="center"/>
    </xf>
    <xf numFmtId="180" fontId="49" fillId="49" borderId="0" xfId="84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3" fontId="8" fillId="49" borderId="12" xfId="0" applyNumberFormat="1" applyFont="1" applyFill="1" applyBorder="1" applyAlignment="1">
      <alignment horizontal="center" vertical="center"/>
    </xf>
    <xf numFmtId="3" fontId="8" fillId="49" borderId="12" xfId="0" applyNumberFormat="1" applyFont="1" applyFill="1" applyBorder="1" applyAlignment="1">
      <alignment horizontal="center" vertical="center" wrapText="1"/>
    </xf>
    <xf numFmtId="3" fontId="46" fillId="0" borderId="28" xfId="0" applyNumberFormat="1" applyFont="1" applyFill="1" applyBorder="1" applyAlignment="1">
      <alignment horizontal="center" vertical="center"/>
    </xf>
    <xf numFmtId="3" fontId="46" fillId="0" borderId="28" xfId="0" applyNumberFormat="1" applyFont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 textRotation="45"/>
    </xf>
    <xf numFmtId="3" fontId="46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46" fillId="0" borderId="26" xfId="0" applyNumberFormat="1" applyFont="1" applyBorder="1" applyAlignment="1">
      <alignment horizontal="center"/>
    </xf>
    <xf numFmtId="0" fontId="46" fillId="0" borderId="27" xfId="0" applyFont="1" applyFill="1" applyBorder="1" applyAlignment="1">
      <alignment horizontal="center" vertical="top"/>
    </xf>
    <xf numFmtId="0" fontId="56" fillId="48" borderId="12" xfId="0" applyFont="1" applyFill="1" applyBorder="1" applyAlignment="1">
      <alignment horizontal="center"/>
    </xf>
    <xf numFmtId="0" fontId="56" fillId="48" borderId="12" xfId="0" applyFont="1" applyFill="1" applyBorder="1" applyAlignment="1">
      <alignment horizontal="center" vertical="center"/>
    </xf>
    <xf numFmtId="3" fontId="57" fillId="0" borderId="12" xfId="0" applyNumberFormat="1" applyFont="1" applyBorder="1" applyAlignment="1">
      <alignment horizontal="center" vertical="center" wrapText="1"/>
    </xf>
    <xf numFmtId="38" fontId="30" fillId="0" borderId="12" xfId="0" applyNumberFormat="1" applyFont="1" applyBorder="1" applyAlignment="1">
      <alignment horizontal="center" vertical="center"/>
    </xf>
    <xf numFmtId="3" fontId="61" fillId="0" borderId="12" xfId="0" applyNumberFormat="1" applyFont="1" applyBorder="1" applyAlignment="1">
      <alignment horizontal="center" vertical="center"/>
    </xf>
    <xf numFmtId="183" fontId="30" fillId="0" borderId="12" xfId="0" applyNumberFormat="1" applyFont="1" applyBorder="1" applyAlignment="1">
      <alignment horizontal="center" vertical="center"/>
    </xf>
    <xf numFmtId="0" fontId="55" fillId="48" borderId="26" xfId="0" applyFont="1" applyFill="1" applyBorder="1" applyAlignment="1">
      <alignment horizontal="center" vertical="center"/>
    </xf>
    <xf numFmtId="0" fontId="0" fillId="41" borderId="26" xfId="0" applyFont="1" applyFill="1" applyBorder="1" applyAlignment="1">
      <alignment horizontal="center" vertical="center"/>
    </xf>
    <xf numFmtId="0" fontId="55" fillId="41" borderId="26" xfId="0" applyFont="1" applyFill="1" applyBorder="1" applyAlignment="1">
      <alignment horizontal="center" vertical="center"/>
    </xf>
    <xf numFmtId="0" fontId="0" fillId="48" borderId="26" xfId="0" applyFont="1" applyFill="1" applyBorder="1" applyAlignment="1">
      <alignment horizontal="center" vertical="center"/>
    </xf>
    <xf numFmtId="0" fontId="65" fillId="25" borderId="38" xfId="0" applyNumberFormat="1" applyFont="1" applyFill="1" applyBorder="1" applyAlignment="1">
      <alignment horizontal="center"/>
    </xf>
    <xf numFmtId="0" fontId="65" fillId="25" borderId="12" xfId="0" applyNumberFormat="1" applyFont="1" applyFill="1" applyBorder="1" applyAlignment="1">
      <alignment horizontal="center"/>
    </xf>
    <xf numFmtId="0" fontId="64" fillId="50" borderId="12" xfId="0" applyNumberFormat="1" applyFont="1" applyFill="1" applyBorder="1" applyAlignment="1">
      <alignment horizontal="center"/>
    </xf>
    <xf numFmtId="0" fontId="65" fillId="0" borderId="12" xfId="0" applyNumberFormat="1" applyFont="1" applyFill="1" applyBorder="1" applyAlignment="1">
      <alignment horizontal="center"/>
    </xf>
    <xf numFmtId="0" fontId="65" fillId="25" borderId="12" xfId="0" applyNumberFormat="1" applyFont="1" applyFill="1" applyBorder="1" applyAlignment="1">
      <alignment horizontal="center" vertical="center"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cf10" xfId="38"/>
    <cellStyle name="cf11" xfId="39"/>
    <cellStyle name="cf12" xfId="40"/>
    <cellStyle name="cf13" xfId="41"/>
    <cellStyle name="cf14" xfId="42"/>
    <cellStyle name="cf15" xfId="43"/>
    <cellStyle name="cf16" xfId="44"/>
    <cellStyle name="cf17" xfId="45"/>
    <cellStyle name="cf18" xfId="46"/>
    <cellStyle name="cf19" xfId="47"/>
    <cellStyle name="cf2" xfId="48"/>
    <cellStyle name="cf3" xfId="49"/>
    <cellStyle name="cf4" xfId="50"/>
    <cellStyle name="cf5" xfId="51"/>
    <cellStyle name="cf6" xfId="52"/>
    <cellStyle name="cf7" xfId="53"/>
    <cellStyle name="cf8" xfId="54"/>
    <cellStyle name="cf9" xfId="55"/>
    <cellStyle name="Ênfase1" xfId="56"/>
    <cellStyle name="Ênfase2" xfId="57"/>
    <cellStyle name="Ênfase3" xfId="58"/>
    <cellStyle name="Ênfase4" xfId="59"/>
    <cellStyle name="Ênfase5" xfId="60"/>
    <cellStyle name="Ênfase6" xfId="61"/>
    <cellStyle name="Entrada" xfId="62"/>
    <cellStyle name="Incorreto" xfId="63"/>
    <cellStyle name="Currency" xfId="64"/>
    <cellStyle name="Currency [0]" xfId="65"/>
    <cellStyle name="Neutra" xfId="66"/>
    <cellStyle name="Normal 2" xfId="67"/>
    <cellStyle name="Normal_Bovinos" xfId="68"/>
    <cellStyle name="Normal_Recepção Latcinios" xfId="69"/>
    <cellStyle name="Nota" xfId="70"/>
    <cellStyle name="Padrão 1" xfId="71"/>
    <cellStyle name="Percent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ítulo 5" xfId="82"/>
    <cellStyle name="Total" xfId="83"/>
    <cellStyle name="Comma" xfId="84"/>
  </cellStyles>
  <dxfs count="57"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/>
        <i val="0"/>
        <sz val="8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rgb="FF000000"/>
      </font>
      <fill>
        <patternFill patternType="solid">
          <fgColor rgb="FFC5000B"/>
          <bgColor rgb="FFFF0000"/>
        </patternFill>
      </fill>
      <border/>
    </dxf>
    <dxf>
      <font>
        <b val="0"/>
        <sz val="8"/>
        <color rgb="FF000000"/>
      </font>
      <fill>
        <patternFill patternType="solid">
          <fgColor rgb="FFFFFFCC"/>
          <bgColor rgb="FFFFEFB4"/>
        </patternFill>
      </fill>
      <border>
        <left style="hair">
          <color rgb="FFFF0000"/>
        </left>
        <right style="hair">
          <color rgb="FFFF0000"/>
        </right>
        <top style="hair"/>
        <bottom style="hair">
          <color rgb="FFFF0000"/>
        </bottom>
      </border>
    </dxf>
    <dxf>
      <font>
        <b/>
        <i val="0"/>
        <sz val="8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8"/>
        <color rgb="FF339933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33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6E6"/>
      <rgbColor rgb="00660066"/>
      <rgbColor rgb="00FF8080"/>
      <rgbColor rgb="00007FFE"/>
      <rgbColor rgb="00CCCCCC"/>
      <rgbColor rgb="00000080"/>
      <rgbColor rgb="00FE007F"/>
      <rgbColor rgb="00FFFF00"/>
      <rgbColor rgb="007FFFD4"/>
      <rgbColor rgb="00800080"/>
      <rgbColor rgb="00800000"/>
      <rgbColor rgb="00008080"/>
      <rgbColor rgb="000000FF"/>
      <rgbColor rgb="0000CCFF"/>
      <rgbColor rgb="00FFEFB4"/>
      <rgbColor rgb="00E3E3E3"/>
      <rgbColor rgb="00FFFF99"/>
      <rgbColor rgb="0083CAFF"/>
      <rgbColor rgb="00FFDAB9"/>
      <rgbColor rgb="00CC99FF"/>
      <rgbColor rgb="00FFCC99"/>
      <rgbColor rgb="002F75B5"/>
      <rgbColor rgb="0033CC66"/>
      <rgbColor rgb="0099CC00"/>
      <rgbColor rgb="00FFE389"/>
      <rgbColor rgb="00FF9900"/>
      <rgbColor rgb="00FF6633"/>
      <rgbColor rgb="00666699"/>
      <rgbColor rgb="00AEAAAA"/>
      <rgbColor rgb="000047FF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AJ114"/>
  <sheetViews>
    <sheetView showGridLines="0" tabSelected="1" zoomScalePageLayoutView="0" workbookViewId="0" topLeftCell="A1">
      <selection activeCell="A1" sqref="A1"/>
    </sheetView>
  </sheetViews>
  <sheetFormatPr defaultColWidth="8" defaultRowHeight="16.5" customHeight="1"/>
  <cols>
    <col min="1" max="1" width="20.4609375" style="1" customWidth="1"/>
    <col min="2" max="6" width="8.83984375" style="1" customWidth="1"/>
    <col min="7" max="7" width="7.83984375" style="1" customWidth="1"/>
    <col min="8" max="8" width="11" style="1" customWidth="1"/>
    <col min="9" max="9" width="2.1484375" style="1" customWidth="1"/>
    <col min="10" max="10" width="17.69140625" style="1" customWidth="1"/>
    <col min="11" max="13" width="7.83984375" style="1" customWidth="1"/>
    <col min="14" max="16" width="9.69140625" style="1" customWidth="1"/>
    <col min="17" max="17" width="8" style="2" customWidth="1"/>
    <col min="18" max="32" width="8.1484375" style="2" hidden="1" customWidth="1"/>
    <col min="33" max="33" width="0" style="2" hidden="1" customWidth="1"/>
    <col min="34" max="34" width="8" style="2" customWidth="1"/>
    <col min="35" max="16384" width="8" style="1" customWidth="1"/>
  </cols>
  <sheetData>
    <row r="1" spans="1:27" ht="12.75" customHeight="1">
      <c r="A1" s="3" t="s">
        <v>0</v>
      </c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4"/>
      <c r="AA1" s="5" t="s">
        <v>1</v>
      </c>
    </row>
    <row r="2" spans="1:25" ht="12.75" customHeight="1">
      <c r="A2" s="3" t="s">
        <v>2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6"/>
      <c r="T2" s="7"/>
      <c r="U2" s="8"/>
      <c r="V2" s="8"/>
      <c r="W2" s="8"/>
      <c r="X2" s="8"/>
      <c r="Y2" s="8"/>
    </row>
    <row r="3" spans="1:32" ht="12.75" customHeight="1">
      <c r="A3" s="3" t="s">
        <v>3</v>
      </c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AA3" s="9" t="s">
        <v>4</v>
      </c>
      <c r="AB3" s="9" t="s">
        <v>5</v>
      </c>
      <c r="AC3" s="9" t="s">
        <v>6</v>
      </c>
      <c r="AD3" s="9" t="s">
        <v>7</v>
      </c>
      <c r="AE3" s="9" t="s">
        <v>8</v>
      </c>
      <c r="AF3" s="9" t="s">
        <v>9</v>
      </c>
    </row>
    <row r="4" spans="1:32" ht="6" customHeight="1">
      <c r="A4" s="10"/>
      <c r="B4" s="10"/>
      <c r="C4" s="10"/>
      <c r="D4" s="10"/>
      <c r="E4" s="10"/>
      <c r="F4" s="10"/>
      <c r="G4" s="10"/>
      <c r="H4" s="2"/>
      <c r="I4" s="2"/>
      <c r="J4" s="2"/>
      <c r="K4" s="2"/>
      <c r="L4" s="2"/>
      <c r="M4" s="2"/>
      <c r="N4" s="2"/>
      <c r="O4" s="2"/>
      <c r="P4" s="2"/>
      <c r="AA4" s="11">
        <v>0.054571443861038696</v>
      </c>
      <c r="AB4" s="11">
        <v>0.0698029424079164</v>
      </c>
      <c r="AC4" s="11">
        <v>0.017939864633769002</v>
      </c>
      <c r="AD4" s="11">
        <v>0.11236766593132501</v>
      </c>
      <c r="AE4" s="12">
        <v>3.55569641207276</v>
      </c>
      <c r="AF4" s="13">
        <v>15.8678902827486</v>
      </c>
    </row>
    <row r="5" spans="1:32" ht="20.25" customHeight="1">
      <c r="A5" s="14" t="s">
        <v>279</v>
      </c>
      <c r="B5" s="15"/>
      <c r="C5" s="15"/>
      <c r="D5" s="15"/>
      <c r="E5" s="15"/>
      <c r="F5" s="15"/>
      <c r="G5" s="15"/>
      <c r="H5" s="2"/>
      <c r="I5" s="2"/>
      <c r="J5" s="2"/>
      <c r="K5" s="2"/>
      <c r="L5" s="2"/>
      <c r="M5" s="2"/>
      <c r="N5" s="2"/>
      <c r="O5" s="2"/>
      <c r="P5" s="2"/>
      <c r="R5" s="16" t="s">
        <v>10</v>
      </c>
      <c r="S5" s="17" t="s">
        <v>280</v>
      </c>
      <c r="AA5" s="11">
        <v>0.218285775444155</v>
      </c>
      <c r="AB5" s="11">
        <v>0.279211769631666</v>
      </c>
      <c r="AC5" s="11">
        <v>0.0717594585350759</v>
      </c>
      <c r="AD5" s="11">
        <v>0.44947066372530003</v>
      </c>
      <c r="AE5" s="12">
        <v>0.25864183526254303</v>
      </c>
      <c r="AF5" s="13">
        <v>2.12459016393443</v>
      </c>
    </row>
    <row r="6" spans="1:30" ht="16.5" customHeight="1">
      <c r="A6" s="1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R6" s="19" t="s">
        <v>11</v>
      </c>
      <c r="S6" s="19" t="s">
        <v>12</v>
      </c>
      <c r="T6" s="19" t="s">
        <v>13</v>
      </c>
      <c r="U6" s="19" t="s">
        <v>14</v>
      </c>
      <c r="V6" s="19" t="s">
        <v>15</v>
      </c>
      <c r="W6" s="19" t="s">
        <v>16</v>
      </c>
      <c r="X6" s="19" t="s">
        <v>7</v>
      </c>
      <c r="Y6" s="19" t="s">
        <v>17</v>
      </c>
      <c r="AA6" s="11">
        <f>AA5/2</f>
        <v>0.1091428877220775</v>
      </c>
      <c r="AB6" s="11">
        <f>AB5/2</f>
        <v>0.139605884815833</v>
      </c>
      <c r="AC6" s="11">
        <f>AC5/2</f>
        <v>0.03587972926753795</v>
      </c>
      <c r="AD6" s="11">
        <f>AD5/2</f>
        <v>0.22473533186265002</v>
      </c>
    </row>
    <row r="7" spans="1:36" s="28" customFormat="1" ht="16.5" customHeight="1">
      <c r="A7" s="20" t="s">
        <v>18</v>
      </c>
      <c r="B7" s="20" t="s">
        <v>19</v>
      </c>
      <c r="C7" s="21" t="s">
        <v>20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2"/>
      <c r="R7" s="23" t="str">
        <f aca="true" t="shared" si="0" ref="R7:R111">+$S$5</f>
        <v>20/21</v>
      </c>
      <c r="S7" s="24" t="str">
        <f>+B7</f>
        <v>0302</v>
      </c>
      <c r="T7" s="25">
        <v>7014</v>
      </c>
      <c r="U7" s="25"/>
      <c r="V7" s="26">
        <f>J11</f>
        <v>16198.4</v>
      </c>
      <c r="W7" s="26"/>
      <c r="X7" s="26"/>
      <c r="Y7" s="27" t="s">
        <v>21</v>
      </c>
      <c r="AA7" s="29"/>
      <c r="AB7" s="29"/>
      <c r="AC7" s="29"/>
      <c r="AD7" s="29"/>
      <c r="AE7" s="29"/>
      <c r="AF7" s="29"/>
      <c r="AJ7" s="30"/>
    </row>
    <row r="8" spans="1:34" ht="6" customHeight="1">
      <c r="A8" s="31"/>
      <c r="B8" s="32"/>
      <c r="C8" s="33"/>
      <c r="D8" s="33"/>
      <c r="E8" s="33"/>
      <c r="F8" s="33"/>
      <c r="G8" s="2"/>
      <c r="H8" s="2"/>
      <c r="I8" s="34"/>
      <c r="J8" s="2"/>
      <c r="K8" s="2"/>
      <c r="L8" s="35"/>
      <c r="M8" s="2"/>
      <c r="N8" s="2"/>
      <c r="O8" s="2"/>
      <c r="P8" s="2"/>
      <c r="R8" s="7" t="str">
        <f t="shared" si="0"/>
        <v>20/21</v>
      </c>
      <c r="S8" s="2" t="str">
        <f aca="true" t="shared" si="1" ref="S8:S21">+S7</f>
        <v>0302</v>
      </c>
      <c r="V8" s="13">
        <f>M11</f>
        <v>10740</v>
      </c>
      <c r="Y8" s="2" t="s">
        <v>22</v>
      </c>
      <c r="AA8" s="36" t="s">
        <v>23</v>
      </c>
      <c r="AB8" s="37">
        <v>10</v>
      </c>
      <c r="AC8" s="36" t="s">
        <v>24</v>
      </c>
      <c r="AD8" s="38">
        <v>3.65</v>
      </c>
      <c r="AE8" s="36" t="s">
        <v>25</v>
      </c>
      <c r="AH8" s="39"/>
    </row>
    <row r="9" spans="1:31" ht="11.25" customHeight="1">
      <c r="A9" s="40"/>
      <c r="B9" s="305" t="s">
        <v>26</v>
      </c>
      <c r="C9" s="313" t="s">
        <v>27</v>
      </c>
      <c r="D9" s="313"/>
      <c r="E9" s="313" t="s">
        <v>28</v>
      </c>
      <c r="F9" s="313"/>
      <c r="G9" s="40"/>
      <c r="H9" s="313" t="s">
        <v>29</v>
      </c>
      <c r="I9" s="2"/>
      <c r="J9" s="309" t="s">
        <v>30</v>
      </c>
      <c r="K9" s="315"/>
      <c r="L9" s="315"/>
      <c r="M9" s="309" t="s">
        <v>31</v>
      </c>
      <c r="N9" s="42"/>
      <c r="O9" s="2"/>
      <c r="P9" s="309" t="s">
        <v>32</v>
      </c>
      <c r="R9" s="7" t="str">
        <f t="shared" si="0"/>
        <v>20/21</v>
      </c>
      <c r="S9" s="2" t="str">
        <f t="shared" si="1"/>
        <v>0302</v>
      </c>
      <c r="T9" s="43" t="s">
        <v>33</v>
      </c>
      <c r="U9" s="43"/>
      <c r="V9" s="43">
        <f>+B11</f>
        <v>13472</v>
      </c>
      <c r="W9" s="44">
        <f>+H17</f>
        <v>248.48968105065666</v>
      </c>
      <c r="X9" s="43">
        <f>B17+C17</f>
        <v>1066</v>
      </c>
      <c r="Y9" s="45" t="s">
        <v>34</v>
      </c>
      <c r="AA9" s="36" t="s">
        <v>35</v>
      </c>
      <c r="AB9" s="37">
        <v>2.5</v>
      </c>
      <c r="AC9" s="36" t="s">
        <v>24</v>
      </c>
      <c r="AD9" s="38">
        <v>0.9125000000000001</v>
      </c>
      <c r="AE9" s="36" t="s">
        <v>25</v>
      </c>
    </row>
    <row r="10" spans="1:25" ht="12" customHeight="1">
      <c r="A10" s="40"/>
      <c r="B10" s="305"/>
      <c r="C10" s="46" t="s">
        <v>36</v>
      </c>
      <c r="D10" s="46" t="s">
        <v>37</v>
      </c>
      <c r="E10" s="46" t="s">
        <v>36</v>
      </c>
      <c r="F10" s="46" t="s">
        <v>37</v>
      </c>
      <c r="G10" s="40"/>
      <c r="H10" s="313"/>
      <c r="I10" s="2"/>
      <c r="J10" s="309"/>
      <c r="K10" s="315"/>
      <c r="L10" s="315"/>
      <c r="M10" s="315"/>
      <c r="N10" s="42"/>
      <c r="O10" s="2"/>
      <c r="P10" s="309"/>
      <c r="R10" s="7" t="str">
        <f t="shared" si="0"/>
        <v>20/21</v>
      </c>
      <c r="S10" s="2" t="str">
        <f t="shared" si="1"/>
        <v>0302</v>
      </c>
      <c r="T10" s="43" t="s">
        <v>38</v>
      </c>
      <c r="U10" s="43"/>
      <c r="V10" s="47"/>
      <c r="W10" s="44">
        <f>H18</f>
        <v>224.5910780669145</v>
      </c>
      <c r="X10" s="43">
        <f>B18+C18</f>
        <v>1076</v>
      </c>
      <c r="Y10" s="45" t="s">
        <v>39</v>
      </c>
    </row>
    <row r="11" spans="1:35" ht="16.5" customHeight="1">
      <c r="A11" s="305" t="s">
        <v>40</v>
      </c>
      <c r="B11" s="310">
        <f>SUM(Reb__Est__por_faixa_etária!O5)</f>
        <v>13472</v>
      </c>
      <c r="C11" s="48">
        <f>'Leite_-_Produção'!Y8</f>
        <v>0.054557600950118766</v>
      </c>
      <c r="D11" s="48">
        <f>100%-(C11+E11+F11)</f>
        <v>0.6554423990498812</v>
      </c>
      <c r="E11" s="49"/>
      <c r="F11" s="49">
        <v>0.29</v>
      </c>
      <c r="G11" s="40" t="str">
        <f>IF(SUM(C12:F12)=0,"",IF(SUM(C11:F11)&lt;1,"&lt;100%",IF(SUM(C11:F11)&gt;1,"&gt;100%","OK")))</f>
        <v>OK</v>
      </c>
      <c r="H11" s="50">
        <f>Reb__Est__por_faixa_etária!B17</f>
        <v>5825</v>
      </c>
      <c r="I11" s="2"/>
      <c r="J11" s="51">
        <f>'Leite_-_Produção'!R8</f>
        <v>16198.4</v>
      </c>
      <c r="K11" s="52"/>
      <c r="L11" s="311"/>
      <c r="M11" s="53">
        <f>TRUNC(((C12+E12)*Bovinos_e_Comerc!$AD$8)+D12*Bovinos_e_Comerc!$AD$9,0)</f>
        <v>10740</v>
      </c>
      <c r="N11" s="54"/>
      <c r="O11" s="2"/>
      <c r="P11" s="55">
        <f>IF(OR(H11="",B11=""),"-",(D12+F12)/H11)</f>
        <v>2.1866094420600857</v>
      </c>
      <c r="R11" s="7" t="str">
        <f t="shared" si="0"/>
        <v>20/21</v>
      </c>
      <c r="S11" s="2" t="str">
        <f t="shared" si="1"/>
        <v>0302</v>
      </c>
      <c r="T11" s="56">
        <v>7590</v>
      </c>
      <c r="U11" s="56"/>
      <c r="V11" s="47"/>
      <c r="W11" s="57">
        <f>+G17</f>
        <v>0</v>
      </c>
      <c r="X11" s="43">
        <f>D17</f>
        <v>0</v>
      </c>
      <c r="Y11" s="58" t="s">
        <v>41</v>
      </c>
      <c r="AI11" s="59"/>
    </row>
    <row r="12" spans="1:25" ht="16.5" customHeight="1">
      <c r="A12" s="305"/>
      <c r="B12" s="305"/>
      <c r="C12" s="60">
        <f>+C11*B11</f>
        <v>735</v>
      </c>
      <c r="D12" s="60">
        <f>+D11*B11</f>
        <v>8830.119999999999</v>
      </c>
      <c r="E12" s="61">
        <f>+E11*B11</f>
        <v>0</v>
      </c>
      <c r="F12" s="61">
        <f>+F11*B11</f>
        <v>3906.8799999999997</v>
      </c>
      <c r="G12" s="40"/>
      <c r="H12" s="40"/>
      <c r="I12" s="2"/>
      <c r="J12" s="40"/>
      <c r="K12" s="40"/>
      <c r="L12" s="311"/>
      <c r="M12" s="62"/>
      <c r="N12" s="40"/>
      <c r="O12" s="40"/>
      <c r="P12" s="40"/>
      <c r="R12" s="7" t="str">
        <f t="shared" si="0"/>
        <v>20/21</v>
      </c>
      <c r="S12" s="2" t="str">
        <f t="shared" si="1"/>
        <v>0302</v>
      </c>
      <c r="T12" s="43" t="s">
        <v>42</v>
      </c>
      <c r="U12" s="43"/>
      <c r="V12" s="47"/>
      <c r="W12" s="47"/>
      <c r="X12" s="43">
        <f>K17</f>
        <v>1416.9399999999998</v>
      </c>
      <c r="Y12" s="45" t="s">
        <v>43</v>
      </c>
    </row>
    <row r="13" spans="1:25" s="70" customFormat="1" ht="4.5" customHeight="1">
      <c r="A13" s="63"/>
      <c r="B13" s="64"/>
      <c r="C13" s="65"/>
      <c r="D13" s="66"/>
      <c r="E13" s="65"/>
      <c r="F13" s="65"/>
      <c r="G13" s="65"/>
      <c r="H13" s="67"/>
      <c r="I13" s="68"/>
      <c r="J13" s="67"/>
      <c r="K13" s="67"/>
      <c r="L13" s="69"/>
      <c r="M13" s="67"/>
      <c r="N13" s="67"/>
      <c r="O13" s="67"/>
      <c r="P13" s="67"/>
      <c r="R13" s="71" t="str">
        <f t="shared" si="0"/>
        <v>20/21</v>
      </c>
      <c r="S13" s="70" t="str">
        <f t="shared" si="1"/>
        <v>0302</v>
      </c>
      <c r="T13" s="72" t="s">
        <v>44</v>
      </c>
      <c r="U13" s="72"/>
      <c r="V13" s="73"/>
      <c r="W13" s="73"/>
      <c r="X13" s="72">
        <f>K18</f>
        <v>1523.04</v>
      </c>
      <c r="Y13" s="74" t="s">
        <v>45</v>
      </c>
    </row>
    <row r="14" spans="1:35" ht="16.5" customHeight="1">
      <c r="A14" s="307" t="s">
        <v>46</v>
      </c>
      <c r="B14" s="312" t="s">
        <v>47</v>
      </c>
      <c r="C14" s="312"/>
      <c r="D14" s="312"/>
      <c r="E14" s="312" t="s">
        <v>48</v>
      </c>
      <c r="F14" s="312"/>
      <c r="G14" s="312"/>
      <c r="H14" s="313" t="s">
        <v>49</v>
      </c>
      <c r="I14" s="2"/>
      <c r="J14" s="307" t="s">
        <v>46</v>
      </c>
      <c r="K14" s="312" t="s">
        <v>50</v>
      </c>
      <c r="L14" s="312"/>
      <c r="M14" s="312"/>
      <c r="N14" s="305" t="s">
        <v>51</v>
      </c>
      <c r="O14" s="305"/>
      <c r="P14" s="305"/>
      <c r="R14" s="7" t="str">
        <f t="shared" si="0"/>
        <v>20/21</v>
      </c>
      <c r="S14" s="2" t="str">
        <f t="shared" si="1"/>
        <v>0302</v>
      </c>
      <c r="T14" s="43" t="s">
        <v>52</v>
      </c>
      <c r="U14" s="43"/>
      <c r="V14" s="47"/>
      <c r="W14" s="47"/>
      <c r="X14" s="43">
        <f>L17</f>
        <v>1294.46</v>
      </c>
      <c r="Y14" s="45" t="s">
        <v>53</v>
      </c>
      <c r="AI14" s="59"/>
    </row>
    <row r="15" spans="1:25" ht="16.5" customHeight="1">
      <c r="A15" s="307"/>
      <c r="B15" s="306" t="s">
        <v>54</v>
      </c>
      <c r="C15" s="306" t="s">
        <v>55</v>
      </c>
      <c r="D15" s="306" t="s">
        <v>56</v>
      </c>
      <c r="E15" s="306" t="s">
        <v>54</v>
      </c>
      <c r="F15" s="306" t="s">
        <v>55</v>
      </c>
      <c r="G15" s="306" t="s">
        <v>56</v>
      </c>
      <c r="H15" s="313"/>
      <c r="I15" s="2"/>
      <c r="J15" s="307"/>
      <c r="K15" s="308" t="s">
        <v>57</v>
      </c>
      <c r="L15" s="308" t="s">
        <v>58</v>
      </c>
      <c r="M15" s="308" t="s">
        <v>59</v>
      </c>
      <c r="N15" s="305"/>
      <c r="O15" s="305"/>
      <c r="P15" s="305"/>
      <c r="R15" s="7" t="str">
        <f t="shared" si="0"/>
        <v>20/21</v>
      </c>
      <c r="S15" s="2" t="str">
        <f t="shared" si="1"/>
        <v>0302</v>
      </c>
      <c r="T15" s="43" t="s">
        <v>60</v>
      </c>
      <c r="U15" s="43"/>
      <c r="X15" s="43">
        <f>+L18</f>
        <v>2450.86</v>
      </c>
      <c r="Y15" s="45" t="s">
        <v>61</v>
      </c>
    </row>
    <row r="16" spans="1:34" ht="18" customHeight="1">
      <c r="A16" s="307"/>
      <c r="B16" s="307"/>
      <c r="C16" s="307"/>
      <c r="D16" s="307"/>
      <c r="E16" s="307"/>
      <c r="F16" s="307"/>
      <c r="G16" s="307"/>
      <c r="H16" s="307"/>
      <c r="I16" s="2"/>
      <c r="J16" s="307"/>
      <c r="K16" s="307"/>
      <c r="L16" s="307"/>
      <c r="M16" s="307"/>
      <c r="N16" s="75" t="s">
        <v>62</v>
      </c>
      <c r="O16" s="75" t="s">
        <v>63</v>
      </c>
      <c r="P16" s="75" t="s">
        <v>64</v>
      </c>
      <c r="R16" s="7" t="str">
        <f t="shared" si="0"/>
        <v>20/21</v>
      </c>
      <c r="S16" s="2" t="str">
        <f t="shared" si="1"/>
        <v>0302</v>
      </c>
      <c r="T16" s="43" t="s">
        <v>65</v>
      </c>
      <c r="U16" s="43"/>
      <c r="X16" s="43">
        <f>+M18</f>
        <v>229.6</v>
      </c>
      <c r="Y16" s="45" t="s">
        <v>66</v>
      </c>
      <c r="AH16" s="39"/>
    </row>
    <row r="17" spans="1:25" ht="16.5" customHeight="1">
      <c r="A17" s="75" t="s">
        <v>67</v>
      </c>
      <c r="B17" s="76">
        <f>SUM('GTA_NR_FB_relatório para Deral'!O5)</f>
        <v>657</v>
      </c>
      <c r="C17" s="76">
        <f>SUM('GTA_NR_FB_relatório para Deral'!P5)</f>
        <v>409</v>
      </c>
      <c r="D17" s="77"/>
      <c r="E17" s="77">
        <v>260</v>
      </c>
      <c r="F17" s="77">
        <v>230</v>
      </c>
      <c r="G17" s="77"/>
      <c r="H17" s="78">
        <f>IF(B17="","",((E17*B17+F17*C17)/SUM(B17:C17)))</f>
        <v>248.48968105065666</v>
      </c>
      <c r="I17" s="2"/>
      <c r="J17" s="75" t="s">
        <v>67</v>
      </c>
      <c r="K17" s="50">
        <f>SUM('GTA_NR_FB_relatório para Deral'!O12)</f>
        <v>1416.9399999999998</v>
      </c>
      <c r="L17" s="50">
        <f>SUM('GTA_NR_FB_relatório para Deral'!P12)</f>
        <v>1294.46</v>
      </c>
      <c r="M17" s="77">
        <f>SUM('GTA_NR_FB_relatório para Deral'!Q12)</f>
        <v>1</v>
      </c>
      <c r="N17" s="77"/>
      <c r="O17" s="77"/>
      <c r="P17" s="77"/>
      <c r="R17" s="7" t="str">
        <f t="shared" si="0"/>
        <v>20/21</v>
      </c>
      <c r="S17" s="2" t="str">
        <f t="shared" si="1"/>
        <v>0302</v>
      </c>
      <c r="T17" s="56">
        <v>7006</v>
      </c>
      <c r="U17" s="56"/>
      <c r="X17" s="43">
        <f>N17</f>
        <v>0</v>
      </c>
      <c r="Y17" s="58" t="s">
        <v>68</v>
      </c>
    </row>
    <row r="18" spans="1:25" ht="16.5" customHeight="1">
      <c r="A18" s="75" t="s">
        <v>69</v>
      </c>
      <c r="B18" s="76">
        <f>SUM('GTA_NR_FB_relatório para Deral'!O6)</f>
        <v>785</v>
      </c>
      <c r="C18" s="76">
        <f>SUM('GTA_NR_FB_relatório para Deral'!P6)</f>
        <v>291</v>
      </c>
      <c r="D18" s="40"/>
      <c r="E18" s="77">
        <v>230</v>
      </c>
      <c r="F18" s="77">
        <v>210</v>
      </c>
      <c r="G18" s="79"/>
      <c r="H18" s="78">
        <f>IF(B18="","",((E18*B18+F18*C18)/SUM(B18:C18)))</f>
        <v>224.5910780669145</v>
      </c>
      <c r="I18" s="2"/>
      <c r="J18" s="75" t="s">
        <v>69</v>
      </c>
      <c r="K18" s="50">
        <f>SUM('GTA_NR_FB_relatório para Deral'!O13)</f>
        <v>1523.04</v>
      </c>
      <c r="L18" s="50">
        <f>SUM('GTA_NR_FB_relatório para Deral'!P13)</f>
        <v>2450.86</v>
      </c>
      <c r="M18" s="80">
        <f>SUM('GTA_NR_FB_relatório para Deral'!Q13)</f>
        <v>229.6</v>
      </c>
      <c r="N18" s="81"/>
      <c r="O18" s="81"/>
      <c r="P18" s="81"/>
      <c r="R18" s="7" t="str">
        <f t="shared" si="0"/>
        <v>20/21</v>
      </c>
      <c r="S18" s="2" t="str">
        <f t="shared" si="1"/>
        <v>0302</v>
      </c>
      <c r="T18" s="56">
        <v>7007</v>
      </c>
      <c r="U18" s="56"/>
      <c r="X18" s="43">
        <f>O17</f>
        <v>0</v>
      </c>
      <c r="Y18" s="58" t="s">
        <v>70</v>
      </c>
    </row>
    <row r="19" spans="1:25" ht="18" customHeight="1">
      <c r="A19" s="41" t="s">
        <v>71</v>
      </c>
      <c r="B19" s="82">
        <f>IF(B11="","",(B18+B17)/B11)</f>
        <v>0.10703681710213776</v>
      </c>
      <c r="C19" s="82">
        <f>IF(B11="","",(C18+C17)/B11)</f>
        <v>0.05195961995249406</v>
      </c>
      <c r="D19" s="82">
        <f>IF(B11="","",(D18+D17)/B11)</f>
        <v>0</v>
      </c>
      <c r="E19" s="314">
        <f>IF(B11="","",IF(B19+C19+D19&gt;Bovinos_e_Comerc!$AD$5," -&gt; índices (somados) acima da média",IF(B19+C19+D19&lt;Bovinos_e_Comerc!$AD$4," -&gt; índices (somados) abaixo da média","")))</f>
      </c>
      <c r="F19" s="314"/>
      <c r="G19" s="314"/>
      <c r="H19" s="314"/>
      <c r="I19" s="2"/>
      <c r="J19" s="41" t="s">
        <v>71</v>
      </c>
      <c r="K19" s="83">
        <f>IF(B11="","-",(K18+K17)/B11)</f>
        <v>0.21822891923990495</v>
      </c>
      <c r="L19" s="83">
        <f>IF(B11="","-",(L18+L17)/B11)</f>
        <v>0.2780077197149644</v>
      </c>
      <c r="M19" s="83">
        <f>IF(B11="","-",(M18+M17+O17+N17+P17)/B11)</f>
        <v>0.017116983372921616</v>
      </c>
      <c r="N19" s="304" t="str">
        <f>IF(AND(K19="-",L19="-",M19="-"),"",IF(K19&gt;Bovinos_e_Comerc!$AA$5," -&gt; índice(s) fora da faixa média",IF(K19&lt;Bovinos_e_Comerc!$AA$4," -&gt; índice(s) fora da faixa média",IF(L19&gt;Bovinos_e_Comerc!$AB$5," -&gt; índice(s) fora da faixa média",IF(L19&lt;Bovinos_e_Comerc!$AB$4," -&gt; índice(s) fora da faixa média",IF(M19&gt;Bovinos_e_Comerc!$AC$5," -&gt; índice(s) fora da faixa média",IF(M19&lt;Bovinos_e_Comerc!$AC$4," -&gt; índice(s) fora da faixa média","")))))))</f>
        <v> -&gt; índice(s) fora da faixa média</v>
      </c>
      <c r="O19" s="304"/>
      <c r="P19" s="304"/>
      <c r="R19" s="7" t="str">
        <f t="shared" si="0"/>
        <v>20/21</v>
      </c>
      <c r="S19" s="2" t="str">
        <f t="shared" si="1"/>
        <v>0302</v>
      </c>
      <c r="T19" s="56">
        <v>7008</v>
      </c>
      <c r="U19" s="56"/>
      <c r="X19" s="43">
        <f>P17</f>
        <v>0</v>
      </c>
      <c r="Y19" s="58" t="s">
        <v>72</v>
      </c>
    </row>
    <row r="20" spans="1:25" ht="7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R20" s="7" t="str">
        <f t="shared" si="0"/>
        <v>20/21</v>
      </c>
      <c r="S20" s="2" t="str">
        <f t="shared" si="1"/>
        <v>0302</v>
      </c>
      <c r="T20" s="43" t="s">
        <v>73</v>
      </c>
      <c r="U20" s="43"/>
      <c r="X20" s="43">
        <f>+M17</f>
        <v>1</v>
      </c>
      <c r="Y20" s="45" t="s">
        <v>74</v>
      </c>
    </row>
    <row r="21" spans="1:25" ht="7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R21" s="7" t="str">
        <f t="shared" si="0"/>
        <v>20/21</v>
      </c>
      <c r="S21" s="2" t="str">
        <f t="shared" si="1"/>
        <v>0302</v>
      </c>
      <c r="T21" s="43" t="s">
        <v>75</v>
      </c>
      <c r="U21" s="43">
        <f>+H11</f>
        <v>5825</v>
      </c>
      <c r="X21" s="43"/>
      <c r="Y21" s="45" t="s">
        <v>76</v>
      </c>
    </row>
    <row r="22" spans="1:32" s="28" customFormat="1" ht="16.5" customHeight="1">
      <c r="A22" s="20" t="s">
        <v>18</v>
      </c>
      <c r="B22" s="20" t="s">
        <v>77</v>
      </c>
      <c r="C22" s="21" t="s">
        <v>78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2"/>
      <c r="R22" s="23" t="str">
        <f t="shared" si="0"/>
        <v>20/21</v>
      </c>
      <c r="S22" s="84" t="str">
        <f>+B22</f>
        <v>0657</v>
      </c>
      <c r="T22" s="85">
        <v>7014</v>
      </c>
      <c r="U22" s="85"/>
      <c r="V22" s="84">
        <f>J26</f>
        <v>8085.96</v>
      </c>
      <c r="W22" s="84"/>
      <c r="X22" s="84"/>
      <c r="Y22" s="86" t="s">
        <v>21</v>
      </c>
      <c r="AA22" s="29"/>
      <c r="AB22" s="29"/>
      <c r="AC22" s="29"/>
      <c r="AD22" s="29"/>
      <c r="AE22" s="29"/>
      <c r="AF22" s="29"/>
    </row>
    <row r="23" spans="1:25" ht="6" customHeight="1">
      <c r="A23" s="31"/>
      <c r="B23" s="32"/>
      <c r="C23" s="33"/>
      <c r="D23" s="33"/>
      <c r="E23" s="33"/>
      <c r="F23" s="33"/>
      <c r="G23" s="2"/>
      <c r="H23" s="2"/>
      <c r="I23" s="34"/>
      <c r="J23" s="2"/>
      <c r="K23" s="2"/>
      <c r="L23" s="35"/>
      <c r="M23" s="2"/>
      <c r="N23" s="2"/>
      <c r="O23" s="2"/>
      <c r="P23" s="2"/>
      <c r="R23" s="7" t="str">
        <f t="shared" si="0"/>
        <v>20/21</v>
      </c>
      <c r="S23" s="2" t="str">
        <f aca="true" t="shared" si="2" ref="S23:S36">+S22</f>
        <v>0657</v>
      </c>
      <c r="V23" s="13">
        <f>M26</f>
        <v>10376</v>
      </c>
      <c r="Y23" s="2" t="s">
        <v>22</v>
      </c>
    </row>
    <row r="24" spans="1:25" ht="11.25" customHeight="1">
      <c r="A24" s="40"/>
      <c r="B24" s="305" t="s">
        <v>26</v>
      </c>
      <c r="C24" s="313" t="s">
        <v>27</v>
      </c>
      <c r="D24" s="313"/>
      <c r="E24" s="313" t="s">
        <v>28</v>
      </c>
      <c r="F24" s="313"/>
      <c r="G24" s="40"/>
      <c r="H24" s="313" t="s">
        <v>29</v>
      </c>
      <c r="I24" s="2"/>
      <c r="J24" s="309" t="s">
        <v>30</v>
      </c>
      <c r="K24" s="315"/>
      <c r="L24" s="315"/>
      <c r="M24" s="309" t="s">
        <v>31</v>
      </c>
      <c r="N24" s="42"/>
      <c r="O24" s="2"/>
      <c r="P24" s="309" t="s">
        <v>32</v>
      </c>
      <c r="R24" s="7" t="str">
        <f t="shared" si="0"/>
        <v>20/21</v>
      </c>
      <c r="S24" s="2" t="str">
        <f t="shared" si="2"/>
        <v>0657</v>
      </c>
      <c r="T24" s="43" t="s">
        <v>33</v>
      </c>
      <c r="U24" s="43"/>
      <c r="V24" s="43">
        <f>+B26</f>
        <v>12532</v>
      </c>
      <c r="W24" s="44">
        <f>+H32</f>
        <v>242.33681462140993</v>
      </c>
      <c r="X24" s="43">
        <f>B32+C32</f>
        <v>1378.8</v>
      </c>
      <c r="Y24" s="45" t="s">
        <v>34</v>
      </c>
    </row>
    <row r="25" spans="1:25" ht="12" customHeight="1">
      <c r="A25" s="40"/>
      <c r="B25" s="305"/>
      <c r="C25" s="46" t="s">
        <v>36</v>
      </c>
      <c r="D25" s="46" t="s">
        <v>37</v>
      </c>
      <c r="E25" s="46" t="s">
        <v>36</v>
      </c>
      <c r="F25" s="46" t="s">
        <v>37</v>
      </c>
      <c r="G25" s="40"/>
      <c r="H25" s="313"/>
      <c r="I25" s="2"/>
      <c r="J25" s="309"/>
      <c r="K25" s="315"/>
      <c r="L25" s="315"/>
      <c r="M25" s="315"/>
      <c r="N25" s="42"/>
      <c r="O25" s="2"/>
      <c r="P25" s="309"/>
      <c r="R25" s="7" t="str">
        <f t="shared" si="0"/>
        <v>20/21</v>
      </c>
      <c r="S25" s="2" t="str">
        <f t="shared" si="2"/>
        <v>0657</v>
      </c>
      <c r="T25" s="43" t="s">
        <v>38</v>
      </c>
      <c r="U25" s="43"/>
      <c r="V25" s="87"/>
      <c r="W25" s="44">
        <f>H33</f>
        <v>224.3412679707754</v>
      </c>
      <c r="X25" s="43">
        <f>B33+C33</f>
        <v>1697.2</v>
      </c>
      <c r="Y25" s="45" t="s">
        <v>39</v>
      </c>
    </row>
    <row r="26" spans="1:25" ht="16.5" customHeight="1">
      <c r="A26" s="305" t="s">
        <v>40</v>
      </c>
      <c r="B26" s="310">
        <f>SUM(Reb__Est__por_faixa_etária!O6)</f>
        <v>12532</v>
      </c>
      <c r="C26" s="48">
        <f>'Leite_-_Produção'!Y9</f>
        <v>0.015799553143951484</v>
      </c>
      <c r="D26" s="48">
        <f>100%-(C26+E26+F26)</f>
        <v>0.4242004468560485</v>
      </c>
      <c r="E26" s="49">
        <v>0.105</v>
      </c>
      <c r="F26" s="49">
        <v>0.455</v>
      </c>
      <c r="G26" s="40" t="str">
        <f>IF(SUM(C27:F27)=0,"",IF(SUM(C26:F26)&lt;1,"&lt;100%",IF(SUM(C26:F26)&gt;1,"&gt;100%","OK")))</f>
        <v>OK</v>
      </c>
      <c r="H26" s="50">
        <f>Reb__Est__por_faixa_etária!B18</f>
        <v>6330</v>
      </c>
      <c r="I26" s="2"/>
      <c r="J26" s="51">
        <f>'Leite_-_Produção'!R9</f>
        <v>8085.96</v>
      </c>
      <c r="K26" s="52"/>
      <c r="L26" s="311"/>
      <c r="M26" s="53">
        <f>TRUNC(((C27+E27)*Bovinos_e_Comerc!$AD$8)+D27*Bovinos_e_Comerc!$AD$9,0)</f>
        <v>10376</v>
      </c>
      <c r="N26" s="54"/>
      <c r="O26" s="2"/>
      <c r="P26" s="55">
        <f>IF(OR(H26="",B26=""),"-",(D27+F27)/H26)</f>
        <v>1.7406224328593995</v>
      </c>
      <c r="R26" s="7" t="str">
        <f t="shared" si="0"/>
        <v>20/21</v>
      </c>
      <c r="S26" s="2" t="str">
        <f t="shared" si="2"/>
        <v>0657</v>
      </c>
      <c r="T26" s="56">
        <v>7590</v>
      </c>
      <c r="U26" s="56"/>
      <c r="V26" s="87"/>
      <c r="W26" s="57">
        <f>+G32</f>
        <v>0</v>
      </c>
      <c r="X26" s="43">
        <f>D32</f>
        <v>0</v>
      </c>
      <c r="Y26" s="58" t="s">
        <v>41</v>
      </c>
    </row>
    <row r="27" spans="1:25" ht="16.5" customHeight="1">
      <c r="A27" s="305"/>
      <c r="B27" s="310"/>
      <c r="C27" s="61">
        <f>+C26*B26</f>
        <v>198</v>
      </c>
      <c r="D27" s="61">
        <f>+D26*B26</f>
        <v>5316.08</v>
      </c>
      <c r="E27" s="61">
        <f>+E26*B26</f>
        <v>1315.86</v>
      </c>
      <c r="F27" s="61">
        <f>+F26*B26</f>
        <v>5702.06</v>
      </c>
      <c r="G27" s="40"/>
      <c r="H27" s="40"/>
      <c r="I27" s="2"/>
      <c r="J27" s="40"/>
      <c r="K27" s="40"/>
      <c r="L27" s="311"/>
      <c r="M27" s="40"/>
      <c r="N27" s="40"/>
      <c r="O27" s="40"/>
      <c r="P27" s="40"/>
      <c r="R27" s="7" t="str">
        <f t="shared" si="0"/>
        <v>20/21</v>
      </c>
      <c r="S27" s="2" t="str">
        <f t="shared" si="2"/>
        <v>0657</v>
      </c>
      <c r="T27" s="43" t="s">
        <v>42</v>
      </c>
      <c r="U27" s="43"/>
      <c r="V27" s="87"/>
      <c r="W27" s="87"/>
      <c r="X27" s="43">
        <f>K32</f>
        <v>1379.0400000000002</v>
      </c>
      <c r="Y27" s="45" t="s">
        <v>43</v>
      </c>
    </row>
    <row r="28" spans="1:25" ht="4.5" customHeight="1">
      <c r="A28" s="88"/>
      <c r="B28" s="89"/>
      <c r="C28" s="90"/>
      <c r="D28" s="90"/>
      <c r="E28" s="90"/>
      <c r="F28" s="90"/>
      <c r="G28" s="90"/>
      <c r="H28" s="40"/>
      <c r="I28" s="34"/>
      <c r="J28" s="40"/>
      <c r="K28" s="40"/>
      <c r="L28" s="91"/>
      <c r="M28" s="40"/>
      <c r="N28" s="40"/>
      <c r="O28" s="40"/>
      <c r="P28" s="40"/>
      <c r="R28" s="7" t="str">
        <f t="shared" si="0"/>
        <v>20/21</v>
      </c>
      <c r="S28" s="2" t="str">
        <f t="shared" si="2"/>
        <v>0657</v>
      </c>
      <c r="T28" s="43" t="s">
        <v>44</v>
      </c>
      <c r="U28" s="43"/>
      <c r="V28" s="87"/>
      <c r="W28" s="87"/>
      <c r="X28" s="43">
        <f>K33</f>
        <v>1153.28</v>
      </c>
      <c r="Y28" s="45" t="s">
        <v>45</v>
      </c>
    </row>
    <row r="29" spans="1:25" ht="16.5" customHeight="1">
      <c r="A29" s="307" t="s">
        <v>46</v>
      </c>
      <c r="B29" s="312" t="s">
        <v>47</v>
      </c>
      <c r="C29" s="312"/>
      <c r="D29" s="312"/>
      <c r="E29" s="312" t="s">
        <v>48</v>
      </c>
      <c r="F29" s="312"/>
      <c r="G29" s="312"/>
      <c r="H29" s="313" t="s">
        <v>49</v>
      </c>
      <c r="I29" s="2"/>
      <c r="J29" s="307" t="s">
        <v>46</v>
      </c>
      <c r="K29" s="312" t="s">
        <v>50</v>
      </c>
      <c r="L29" s="312"/>
      <c r="M29" s="312"/>
      <c r="N29" s="305" t="s">
        <v>51</v>
      </c>
      <c r="O29" s="305"/>
      <c r="P29" s="305"/>
      <c r="R29" s="7" t="str">
        <f t="shared" si="0"/>
        <v>20/21</v>
      </c>
      <c r="S29" s="2" t="str">
        <f t="shared" si="2"/>
        <v>0657</v>
      </c>
      <c r="T29" s="43" t="s">
        <v>52</v>
      </c>
      <c r="U29" s="43"/>
      <c r="V29" s="87"/>
      <c r="W29" s="87"/>
      <c r="X29" s="43">
        <f>L32</f>
        <v>746.64</v>
      </c>
      <c r="Y29" s="45" t="s">
        <v>53</v>
      </c>
    </row>
    <row r="30" spans="1:25" ht="16.5" customHeight="1">
      <c r="A30" s="307"/>
      <c r="B30" s="306" t="s">
        <v>54</v>
      </c>
      <c r="C30" s="306" t="s">
        <v>55</v>
      </c>
      <c r="D30" s="306" t="s">
        <v>56</v>
      </c>
      <c r="E30" s="306" t="s">
        <v>54</v>
      </c>
      <c r="F30" s="306" t="s">
        <v>55</v>
      </c>
      <c r="G30" s="306" t="s">
        <v>56</v>
      </c>
      <c r="H30" s="313"/>
      <c r="I30" s="2"/>
      <c r="J30" s="307"/>
      <c r="K30" s="308" t="s">
        <v>57</v>
      </c>
      <c r="L30" s="308" t="s">
        <v>58</v>
      </c>
      <c r="M30" s="308" t="s">
        <v>59</v>
      </c>
      <c r="N30" s="305"/>
      <c r="O30" s="305"/>
      <c r="P30" s="305"/>
      <c r="R30" s="7" t="str">
        <f t="shared" si="0"/>
        <v>20/21</v>
      </c>
      <c r="S30" s="2" t="str">
        <f t="shared" si="2"/>
        <v>0657</v>
      </c>
      <c r="T30" s="43" t="s">
        <v>60</v>
      </c>
      <c r="U30" s="43"/>
      <c r="X30" s="43">
        <f>+L33</f>
        <v>1438.49</v>
      </c>
      <c r="Y30" s="45" t="s">
        <v>61</v>
      </c>
    </row>
    <row r="31" spans="1:25" ht="18" customHeight="1">
      <c r="A31" s="307"/>
      <c r="B31" s="307"/>
      <c r="C31" s="307"/>
      <c r="D31" s="307"/>
      <c r="E31" s="307"/>
      <c r="F31" s="307"/>
      <c r="G31" s="307"/>
      <c r="H31" s="307"/>
      <c r="I31" s="2"/>
      <c r="J31" s="307"/>
      <c r="K31" s="307"/>
      <c r="L31" s="307"/>
      <c r="M31" s="307"/>
      <c r="N31" s="75" t="s">
        <v>62</v>
      </c>
      <c r="O31" s="75" t="s">
        <v>63</v>
      </c>
      <c r="P31" s="75" t="s">
        <v>64</v>
      </c>
      <c r="R31" s="7" t="str">
        <f t="shared" si="0"/>
        <v>20/21</v>
      </c>
      <c r="S31" s="2" t="str">
        <f t="shared" si="2"/>
        <v>0657</v>
      </c>
      <c r="T31" s="43" t="s">
        <v>65</v>
      </c>
      <c r="U31" s="43"/>
      <c r="X31" s="43">
        <f>+M33</f>
        <v>227.49999999999997</v>
      </c>
      <c r="Y31" s="45" t="s">
        <v>66</v>
      </c>
    </row>
    <row r="32" spans="1:25" ht="16.5" customHeight="1">
      <c r="A32" s="75" t="s">
        <v>67</v>
      </c>
      <c r="B32" s="77">
        <f>SUM('GTA_NR_FB_relatório para Deral'!O19)</f>
        <v>567</v>
      </c>
      <c r="C32" s="77">
        <f>SUM('GTA_NR_FB_relatório para Deral'!P19)</f>
        <v>811.8</v>
      </c>
      <c r="D32" s="77"/>
      <c r="E32" s="77">
        <v>260</v>
      </c>
      <c r="F32" s="77">
        <v>230</v>
      </c>
      <c r="G32" s="77"/>
      <c r="H32" s="78">
        <f>IF(B32="","",((E32*B32+F32*C32)/SUM(B32:C32)))</f>
        <v>242.33681462140993</v>
      </c>
      <c r="I32" s="2"/>
      <c r="J32" s="75" t="s">
        <v>67</v>
      </c>
      <c r="K32" s="77">
        <f>SUM('GTA_NR_FB_relatório para Deral'!O26)</f>
        <v>1379.0400000000002</v>
      </c>
      <c r="L32" s="77">
        <f>SUM('GTA_NR_FB_relatório para Deral'!P26)</f>
        <v>746.64</v>
      </c>
      <c r="M32" s="77">
        <f>SUM('GTA_NR_FB_relatório para Deral'!Q26)</f>
        <v>1</v>
      </c>
      <c r="N32" s="77"/>
      <c r="O32" s="77"/>
      <c r="P32" s="77"/>
      <c r="R32" s="7" t="str">
        <f t="shared" si="0"/>
        <v>20/21</v>
      </c>
      <c r="S32" s="2" t="str">
        <f t="shared" si="2"/>
        <v>0657</v>
      </c>
      <c r="T32" s="56">
        <v>7006</v>
      </c>
      <c r="U32" s="56"/>
      <c r="X32" s="43">
        <f>N32</f>
        <v>0</v>
      </c>
      <c r="Y32" s="58" t="s">
        <v>68</v>
      </c>
    </row>
    <row r="33" spans="1:25" ht="16.5" customHeight="1">
      <c r="A33" s="75" t="s">
        <v>69</v>
      </c>
      <c r="B33" s="77">
        <f>SUM('GTA_NR_FB_relatório para Deral'!O20)</f>
        <v>1217</v>
      </c>
      <c r="C33" s="77">
        <f>SUM('GTA_NR_FB_relatório para Deral'!P20)</f>
        <v>480.2</v>
      </c>
      <c r="D33" s="40"/>
      <c r="E33" s="77">
        <v>230</v>
      </c>
      <c r="F33" s="77">
        <v>210</v>
      </c>
      <c r="G33" s="79"/>
      <c r="H33" s="78">
        <f>IF(B33="","",((E33*B33+F33*C33)/SUM(B33:C33)))</f>
        <v>224.3412679707754</v>
      </c>
      <c r="I33" s="2"/>
      <c r="J33" s="75" t="s">
        <v>69</v>
      </c>
      <c r="K33" s="77">
        <f>SUM('GTA_NR_FB_relatório para Deral'!O27)</f>
        <v>1153.28</v>
      </c>
      <c r="L33" s="77">
        <f>SUM('GTA_NR_FB_relatório para Deral'!P27)</f>
        <v>1438.49</v>
      </c>
      <c r="M33" s="80">
        <f>SUM('GTA_NR_FB_relatório para Deral'!Q27)</f>
        <v>227.49999999999997</v>
      </c>
      <c r="N33" s="81"/>
      <c r="O33" s="81"/>
      <c r="P33" s="81"/>
      <c r="R33" s="7" t="str">
        <f t="shared" si="0"/>
        <v>20/21</v>
      </c>
      <c r="S33" s="2" t="str">
        <f t="shared" si="2"/>
        <v>0657</v>
      </c>
      <c r="T33" s="56">
        <v>7007</v>
      </c>
      <c r="U33" s="56"/>
      <c r="X33" s="43">
        <f>O32</f>
        <v>0</v>
      </c>
      <c r="Y33" s="58" t="s">
        <v>70</v>
      </c>
    </row>
    <row r="34" spans="1:25" ht="18" customHeight="1">
      <c r="A34" s="41" t="s">
        <v>71</v>
      </c>
      <c r="B34" s="82">
        <f>IF(B26="","",(B33+B32)/B26)</f>
        <v>0.14235556974146185</v>
      </c>
      <c r="C34" s="82">
        <f>IF(B26="","",(C33+C32)/B26)</f>
        <v>0.10309607405043089</v>
      </c>
      <c r="D34" s="82">
        <f>IF(B26="","",(D33+D32)/B26)</f>
        <v>0</v>
      </c>
      <c r="E34" s="314">
        <f>IF(B26="","",IF(B34+C34+D34&gt;Bovinos_e_Comerc!$AD$5," -&gt; índices (somados) acima da média",IF(B34+C34+D34&lt;Bovinos_e_Comerc!$AD$4," -&gt; índices (somados) abaixo da média","")))</f>
      </c>
      <c r="F34" s="314"/>
      <c r="G34" s="314"/>
      <c r="H34" s="314"/>
      <c r="I34" s="2"/>
      <c r="J34" s="41" t="s">
        <v>71</v>
      </c>
      <c r="K34" s="83">
        <f>IF(B26="","-",(K33+K32)/B26)</f>
        <v>0.20206830513884458</v>
      </c>
      <c r="L34" s="83">
        <f>IF(B26="","-",(L33+L32)/B26)</f>
        <v>0.17436402808809448</v>
      </c>
      <c r="M34" s="83">
        <f>IF(B26="","-",(M33+M32+O32+N32+P32)/B26)</f>
        <v>0.018233322693903604</v>
      </c>
      <c r="N34" s="304">
        <f>IF(AND(K34="-",L34="-",M34="-"),"",IF(K34&gt;Bovinos_e_Comerc!$AA$5," -&gt; índice(s) fora da faixa média",IF(K34&lt;Bovinos_e_Comerc!$AA$4," -&gt; índice(s) fora da faixa média",IF(L34&gt;Bovinos_e_Comerc!$AB$5," -&gt; índice(s) fora da faixa média",IF(L34&lt;Bovinos_e_Comerc!$AB$4," -&gt; índice(s) fora da faixa média",IF(M34&gt;Bovinos_e_Comerc!$AC$5," -&gt; índice(s) fora da faixa média",IF(M34&lt;Bovinos_e_Comerc!$AC$4," -&gt; índice(s) fora da faixa média","")))))))</f>
      </c>
      <c r="O34" s="304"/>
      <c r="P34" s="304"/>
      <c r="R34" s="7" t="str">
        <f t="shared" si="0"/>
        <v>20/21</v>
      </c>
      <c r="S34" s="2" t="str">
        <f t="shared" si="2"/>
        <v>0657</v>
      </c>
      <c r="T34" s="56">
        <v>7008</v>
      </c>
      <c r="U34" s="56"/>
      <c r="X34" s="43">
        <f>P32</f>
        <v>0</v>
      </c>
      <c r="Y34" s="58" t="s">
        <v>72</v>
      </c>
    </row>
    <row r="35" spans="1:25" ht="8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R35" s="7" t="str">
        <f t="shared" si="0"/>
        <v>20/21</v>
      </c>
      <c r="S35" s="2" t="str">
        <f t="shared" si="2"/>
        <v>0657</v>
      </c>
      <c r="T35" s="43" t="s">
        <v>73</v>
      </c>
      <c r="U35" s="43"/>
      <c r="W35" s="18"/>
      <c r="X35" s="43">
        <f>+M32</f>
        <v>1</v>
      </c>
      <c r="Y35" s="45" t="s">
        <v>74</v>
      </c>
    </row>
    <row r="36" spans="1:25" ht="8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R36" s="7" t="str">
        <f t="shared" si="0"/>
        <v>20/21</v>
      </c>
      <c r="S36" s="2" t="str">
        <f t="shared" si="2"/>
        <v>0657</v>
      </c>
      <c r="T36" s="43" t="s">
        <v>75</v>
      </c>
      <c r="U36" s="43">
        <f>+H26</f>
        <v>6330</v>
      </c>
      <c r="W36" s="18"/>
      <c r="X36" s="43"/>
      <c r="Y36" s="45" t="s">
        <v>76</v>
      </c>
    </row>
    <row r="37" spans="1:32" s="28" customFormat="1" ht="16.5" customHeight="1">
      <c r="A37" s="20" t="s">
        <v>18</v>
      </c>
      <c r="B37" s="20" t="s">
        <v>79</v>
      </c>
      <c r="C37" s="21" t="s">
        <v>80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2"/>
      <c r="R37" s="23" t="str">
        <f t="shared" si="0"/>
        <v>20/21</v>
      </c>
      <c r="S37" s="24" t="str">
        <f>+B37</f>
        <v>0720</v>
      </c>
      <c r="T37" s="25">
        <v>7014</v>
      </c>
      <c r="U37" s="25"/>
      <c r="V37" s="26">
        <f>J41</f>
        <v>52571.96</v>
      </c>
      <c r="W37" s="26"/>
      <c r="X37" s="26"/>
      <c r="Y37" s="27" t="s">
        <v>21</v>
      </c>
      <c r="AA37" s="29"/>
      <c r="AB37" s="29"/>
      <c r="AC37" s="29"/>
      <c r="AD37" s="29"/>
      <c r="AE37" s="29"/>
      <c r="AF37" s="29"/>
    </row>
    <row r="38" spans="1:25" ht="6" customHeight="1">
      <c r="A38" s="31"/>
      <c r="B38" s="32"/>
      <c r="C38" s="33"/>
      <c r="D38" s="33"/>
      <c r="E38" s="33"/>
      <c r="F38" s="33"/>
      <c r="G38" s="2"/>
      <c r="H38" s="2"/>
      <c r="I38" s="34"/>
      <c r="J38" s="2"/>
      <c r="K38" s="2"/>
      <c r="L38" s="35"/>
      <c r="M38" s="2"/>
      <c r="N38" s="2"/>
      <c r="O38" s="2"/>
      <c r="P38" s="2"/>
      <c r="R38" s="7" t="str">
        <f t="shared" si="0"/>
        <v>20/21</v>
      </c>
      <c r="S38" s="2" t="str">
        <f aca="true" t="shared" si="3" ref="S38:S51">+S37</f>
        <v>0720</v>
      </c>
      <c r="V38" s="13">
        <f>M41</f>
        <v>27926</v>
      </c>
      <c r="Y38" s="2" t="s">
        <v>22</v>
      </c>
    </row>
    <row r="39" spans="1:25" ht="11.25" customHeight="1">
      <c r="A39" s="40"/>
      <c r="B39" s="305" t="s">
        <v>26</v>
      </c>
      <c r="C39" s="313" t="s">
        <v>27</v>
      </c>
      <c r="D39" s="313"/>
      <c r="E39" s="313" t="s">
        <v>28</v>
      </c>
      <c r="F39" s="313"/>
      <c r="G39" s="40"/>
      <c r="H39" s="313" t="s">
        <v>29</v>
      </c>
      <c r="I39" s="2"/>
      <c r="J39" s="309" t="s">
        <v>30</v>
      </c>
      <c r="K39" s="315"/>
      <c r="L39" s="315"/>
      <c r="M39" s="309" t="s">
        <v>31</v>
      </c>
      <c r="N39" s="42"/>
      <c r="O39" s="2"/>
      <c r="P39" s="309" t="s">
        <v>32</v>
      </c>
      <c r="R39" s="7" t="str">
        <f t="shared" si="0"/>
        <v>20/21</v>
      </c>
      <c r="S39" s="2" t="str">
        <f t="shared" si="3"/>
        <v>0720</v>
      </c>
      <c r="T39" s="43" t="s">
        <v>33</v>
      </c>
      <c r="U39" s="43"/>
      <c r="V39" s="43">
        <f>+B41</f>
        <v>31332</v>
      </c>
      <c r="W39" s="44">
        <f>+H47</f>
        <v>236.74701388141614</v>
      </c>
      <c r="X39" s="43">
        <f>B47+C47</f>
        <v>1858.6000000000001</v>
      </c>
      <c r="Y39" s="45" t="s">
        <v>34</v>
      </c>
    </row>
    <row r="40" spans="1:25" ht="12" customHeight="1">
      <c r="A40" s="40"/>
      <c r="B40" s="305"/>
      <c r="C40" s="46" t="s">
        <v>36</v>
      </c>
      <c r="D40" s="46" t="s">
        <v>37</v>
      </c>
      <c r="E40" s="46" t="s">
        <v>36</v>
      </c>
      <c r="F40" s="46" t="s">
        <v>37</v>
      </c>
      <c r="G40" s="40"/>
      <c r="H40" s="313"/>
      <c r="I40" s="2"/>
      <c r="J40" s="309"/>
      <c r="K40" s="315"/>
      <c r="L40" s="315"/>
      <c r="M40" s="315"/>
      <c r="N40" s="42"/>
      <c r="O40" s="2"/>
      <c r="P40" s="309"/>
      <c r="R40" s="7" t="str">
        <f t="shared" si="0"/>
        <v>20/21</v>
      </c>
      <c r="S40" s="2" t="str">
        <f t="shared" si="3"/>
        <v>0720</v>
      </c>
      <c r="T40" s="43" t="s">
        <v>38</v>
      </c>
      <c r="U40" s="43"/>
      <c r="V40" s="47"/>
      <c r="W40" s="44">
        <f>H48</f>
        <v>223.1586322869955</v>
      </c>
      <c r="X40" s="43">
        <f>B48+C48</f>
        <v>2854.4</v>
      </c>
      <c r="Y40" s="45" t="s">
        <v>39</v>
      </c>
    </row>
    <row r="41" spans="1:25" ht="16.5" customHeight="1">
      <c r="A41" s="305" t="s">
        <v>40</v>
      </c>
      <c r="B41" s="310">
        <f>SUM(Reb__Est__por_faixa_etária!O7)</f>
        <v>31332</v>
      </c>
      <c r="C41" s="48">
        <f>'Leite_-_Produção'!Y10</f>
        <v>0.06558789735733435</v>
      </c>
      <c r="D41" s="48">
        <f>100%-(C41+E41+F41)</f>
        <v>0.7144121026426656</v>
      </c>
      <c r="E41" s="49"/>
      <c r="F41" s="49">
        <v>0.22</v>
      </c>
      <c r="G41" s="40" t="str">
        <f>IF(SUM(C42:F42)=0,"",IF(SUM(C41:F41)&lt;1,"&lt;100%",IF(SUM(C41:F41)&gt;1,"&gt;100%","OK")))</f>
        <v>OK</v>
      </c>
      <c r="H41" s="50">
        <f>Reb__Est__por_faixa_etária!B19</f>
        <v>9409</v>
      </c>
      <c r="I41" s="2"/>
      <c r="J41" s="51">
        <f>'Leite_-_Produção'!R10</f>
        <v>52571.96</v>
      </c>
      <c r="K41" s="52"/>
      <c r="L41" s="311"/>
      <c r="M41" s="53">
        <f>TRUNC(((C42+E42)*Bovinos_e_Comerc!$AD$8)+D42*Bovinos_e_Comerc!$AD$9,0)</f>
        <v>27926</v>
      </c>
      <c r="N41" s="54"/>
      <c r="O41" s="2"/>
      <c r="P41" s="55">
        <f>IF(OR(H41="",B41=""),"-",(D42+F42)/H41)</f>
        <v>3.111595281113827</v>
      </c>
      <c r="R41" s="7" t="str">
        <f t="shared" si="0"/>
        <v>20/21</v>
      </c>
      <c r="S41" s="2" t="str">
        <f t="shared" si="3"/>
        <v>0720</v>
      </c>
      <c r="T41" s="56">
        <v>7590</v>
      </c>
      <c r="U41" s="56"/>
      <c r="V41" s="47"/>
      <c r="W41" s="57">
        <f>+G47</f>
        <v>0</v>
      </c>
      <c r="X41" s="43">
        <f>D47</f>
        <v>0</v>
      </c>
      <c r="Y41" s="58" t="s">
        <v>41</v>
      </c>
    </row>
    <row r="42" spans="1:25" ht="16.5" customHeight="1">
      <c r="A42" s="305"/>
      <c r="B42" s="310"/>
      <c r="C42" s="61">
        <f>+C41*B41</f>
        <v>2055</v>
      </c>
      <c r="D42" s="61">
        <f>+D41*B41</f>
        <v>22383.96</v>
      </c>
      <c r="E42" s="61">
        <f>+E41*B41</f>
        <v>0</v>
      </c>
      <c r="F42" s="61">
        <f>+F41*B41</f>
        <v>6893.04</v>
      </c>
      <c r="G42" s="40"/>
      <c r="H42" s="40"/>
      <c r="I42" s="2"/>
      <c r="J42" s="40"/>
      <c r="K42" s="40"/>
      <c r="L42" s="311"/>
      <c r="M42" s="40"/>
      <c r="N42" s="40"/>
      <c r="O42" s="40"/>
      <c r="P42" s="40"/>
      <c r="R42" s="7" t="str">
        <f t="shared" si="0"/>
        <v>20/21</v>
      </c>
      <c r="S42" s="2" t="str">
        <f t="shared" si="3"/>
        <v>0720</v>
      </c>
      <c r="T42" s="43" t="s">
        <v>42</v>
      </c>
      <c r="U42" s="43"/>
      <c r="V42" s="47"/>
      <c r="W42" s="47"/>
      <c r="X42" s="43">
        <f>K47</f>
        <v>3388.44</v>
      </c>
      <c r="Y42" s="45" t="s">
        <v>43</v>
      </c>
    </row>
    <row r="43" spans="1:25" ht="4.5" customHeight="1">
      <c r="A43" s="88"/>
      <c r="B43" s="89"/>
      <c r="C43" s="90"/>
      <c r="D43" s="90"/>
      <c r="E43" s="90"/>
      <c r="F43" s="90"/>
      <c r="G43" s="90"/>
      <c r="H43" s="40"/>
      <c r="I43" s="34"/>
      <c r="J43" s="40"/>
      <c r="K43" s="40"/>
      <c r="L43" s="91"/>
      <c r="M43" s="40"/>
      <c r="N43" s="40"/>
      <c r="O43" s="40"/>
      <c r="P43" s="40"/>
      <c r="R43" s="7" t="str">
        <f t="shared" si="0"/>
        <v>20/21</v>
      </c>
      <c r="S43" s="2" t="str">
        <f t="shared" si="3"/>
        <v>0720</v>
      </c>
      <c r="T43" s="43" t="s">
        <v>44</v>
      </c>
      <c r="U43" s="43"/>
      <c r="V43" s="47"/>
      <c r="W43" s="47"/>
      <c r="X43" s="43">
        <f>K48</f>
        <v>3225</v>
      </c>
      <c r="Y43" s="45" t="s">
        <v>45</v>
      </c>
    </row>
    <row r="44" spans="1:25" ht="16.5" customHeight="1">
      <c r="A44" s="307" t="s">
        <v>46</v>
      </c>
      <c r="B44" s="312" t="s">
        <v>47</v>
      </c>
      <c r="C44" s="312"/>
      <c r="D44" s="312"/>
      <c r="E44" s="312" t="s">
        <v>48</v>
      </c>
      <c r="F44" s="312"/>
      <c r="G44" s="312"/>
      <c r="H44" s="313" t="s">
        <v>49</v>
      </c>
      <c r="I44" s="2"/>
      <c r="J44" s="307" t="s">
        <v>46</v>
      </c>
      <c r="K44" s="312" t="s">
        <v>50</v>
      </c>
      <c r="L44" s="312"/>
      <c r="M44" s="312"/>
      <c r="N44" s="305" t="s">
        <v>51</v>
      </c>
      <c r="O44" s="305"/>
      <c r="P44" s="305"/>
      <c r="R44" s="7" t="str">
        <f t="shared" si="0"/>
        <v>20/21</v>
      </c>
      <c r="S44" s="2" t="str">
        <f t="shared" si="3"/>
        <v>0720</v>
      </c>
      <c r="T44" s="43" t="s">
        <v>52</v>
      </c>
      <c r="U44" s="43"/>
      <c r="V44" s="47"/>
      <c r="W44" s="47"/>
      <c r="X44" s="43">
        <f>L47</f>
        <v>1268.1000000000001</v>
      </c>
      <c r="Y44" s="45" t="s">
        <v>53</v>
      </c>
    </row>
    <row r="45" spans="1:25" ht="16.5" customHeight="1">
      <c r="A45" s="307"/>
      <c r="B45" s="306" t="s">
        <v>54</v>
      </c>
      <c r="C45" s="306" t="s">
        <v>55</v>
      </c>
      <c r="D45" s="306" t="s">
        <v>56</v>
      </c>
      <c r="E45" s="306" t="s">
        <v>54</v>
      </c>
      <c r="F45" s="306" t="s">
        <v>55</v>
      </c>
      <c r="G45" s="306" t="s">
        <v>56</v>
      </c>
      <c r="H45" s="313"/>
      <c r="I45" s="2"/>
      <c r="J45" s="307"/>
      <c r="K45" s="308" t="s">
        <v>57</v>
      </c>
      <c r="L45" s="308" t="s">
        <v>58</v>
      </c>
      <c r="M45" s="308" t="s">
        <v>59</v>
      </c>
      <c r="N45" s="305"/>
      <c r="O45" s="305"/>
      <c r="P45" s="305"/>
      <c r="R45" s="7" t="str">
        <f t="shared" si="0"/>
        <v>20/21</v>
      </c>
      <c r="S45" s="2" t="str">
        <f t="shared" si="3"/>
        <v>0720</v>
      </c>
      <c r="T45" s="43" t="s">
        <v>60</v>
      </c>
      <c r="U45" s="43"/>
      <c r="X45" s="43">
        <f>+L48</f>
        <v>3224.8999999999996</v>
      </c>
      <c r="Y45" s="45" t="s">
        <v>61</v>
      </c>
    </row>
    <row r="46" spans="1:25" ht="18" customHeight="1">
      <c r="A46" s="307"/>
      <c r="B46" s="307"/>
      <c r="C46" s="307"/>
      <c r="D46" s="307"/>
      <c r="E46" s="307"/>
      <c r="F46" s="307"/>
      <c r="G46" s="307"/>
      <c r="H46" s="307"/>
      <c r="I46" s="2"/>
      <c r="J46" s="307"/>
      <c r="K46" s="307"/>
      <c r="L46" s="307"/>
      <c r="M46" s="307"/>
      <c r="N46" s="75" t="s">
        <v>62</v>
      </c>
      <c r="O46" s="75" t="s">
        <v>63</v>
      </c>
      <c r="P46" s="75" t="s">
        <v>64</v>
      </c>
      <c r="R46" s="7" t="str">
        <f t="shared" si="0"/>
        <v>20/21</v>
      </c>
      <c r="S46" s="2" t="str">
        <f t="shared" si="3"/>
        <v>0720</v>
      </c>
      <c r="T46" s="43" t="s">
        <v>65</v>
      </c>
      <c r="U46" s="43"/>
      <c r="X46" s="43">
        <f>+M48</f>
        <v>770.6999999999999</v>
      </c>
      <c r="Y46" s="45" t="s">
        <v>66</v>
      </c>
    </row>
    <row r="47" spans="1:25" ht="16.5" customHeight="1">
      <c r="A47" s="75" t="s">
        <v>67</v>
      </c>
      <c r="B47" s="77">
        <f>SUM('GTA_NR_FB_relatório para Deral'!O33)</f>
        <v>418</v>
      </c>
      <c r="C47" s="77">
        <f>SUM('GTA_NR_FB_relatório para Deral'!P33)</f>
        <v>1440.6000000000001</v>
      </c>
      <c r="D47" s="77"/>
      <c r="E47" s="77">
        <v>260</v>
      </c>
      <c r="F47" s="77">
        <v>230</v>
      </c>
      <c r="G47" s="77"/>
      <c r="H47" s="78">
        <f>IF(B47="","",((E47*B47+F47*C47)/SUM(B47:C47)))</f>
        <v>236.74701388141614</v>
      </c>
      <c r="I47" s="2"/>
      <c r="J47" s="75" t="s">
        <v>67</v>
      </c>
      <c r="K47" s="77">
        <f>SUM('GTA_NR_FB_relatório para Deral'!O40)</f>
        <v>3388.44</v>
      </c>
      <c r="L47" s="77">
        <f>SUM('GTA_NR_FB_relatório para Deral'!P40)</f>
        <v>1268.1000000000001</v>
      </c>
      <c r="M47" s="77">
        <f>SUM('GTA_NR_FB_relatório para Deral'!Q40)</f>
        <v>8</v>
      </c>
      <c r="N47" s="77"/>
      <c r="O47" s="77"/>
      <c r="P47" s="77"/>
      <c r="R47" s="7" t="str">
        <f t="shared" si="0"/>
        <v>20/21</v>
      </c>
      <c r="S47" s="2" t="str">
        <f t="shared" si="3"/>
        <v>0720</v>
      </c>
      <c r="T47" s="56">
        <v>7006</v>
      </c>
      <c r="U47" s="56"/>
      <c r="X47" s="43">
        <f>N47</f>
        <v>0</v>
      </c>
      <c r="Y47" s="58" t="s">
        <v>68</v>
      </c>
    </row>
    <row r="48" spans="1:25" ht="16.5" customHeight="1">
      <c r="A48" s="75" t="s">
        <v>69</v>
      </c>
      <c r="B48" s="77">
        <f>SUM('GTA_NR_FB_relatório para Deral'!O34)</f>
        <v>1878</v>
      </c>
      <c r="C48" s="77">
        <f>SUM('GTA_NR_FB_relatório para Deral'!P34)</f>
        <v>976.4000000000001</v>
      </c>
      <c r="D48" s="40"/>
      <c r="E48" s="77">
        <v>230</v>
      </c>
      <c r="F48" s="77">
        <v>210</v>
      </c>
      <c r="G48" s="79"/>
      <c r="H48" s="78">
        <f>IF(B48="","",((E48*B48+F48*C48)/SUM(B48:C48)))</f>
        <v>223.1586322869955</v>
      </c>
      <c r="I48" s="2"/>
      <c r="J48" s="75" t="s">
        <v>69</v>
      </c>
      <c r="K48" s="77">
        <f>SUM('GTA_NR_FB_relatório para Deral'!O41)</f>
        <v>3225</v>
      </c>
      <c r="L48" s="77">
        <f>SUM('GTA_NR_FB_relatório para Deral'!P41)</f>
        <v>3224.8999999999996</v>
      </c>
      <c r="M48" s="80">
        <f>SUM('GTA_NR_FB_relatório para Deral'!Q41)</f>
        <v>770.6999999999999</v>
      </c>
      <c r="N48" s="81"/>
      <c r="O48" s="81"/>
      <c r="P48" s="81"/>
      <c r="R48" s="7" t="str">
        <f t="shared" si="0"/>
        <v>20/21</v>
      </c>
      <c r="S48" s="2" t="str">
        <f t="shared" si="3"/>
        <v>0720</v>
      </c>
      <c r="T48" s="56">
        <v>7007</v>
      </c>
      <c r="U48" s="56"/>
      <c r="X48" s="43">
        <f>O47</f>
        <v>0</v>
      </c>
      <c r="Y48" s="58" t="s">
        <v>70</v>
      </c>
    </row>
    <row r="49" spans="1:25" ht="18" customHeight="1">
      <c r="A49" s="41" t="s">
        <v>71</v>
      </c>
      <c r="B49" s="82">
        <f>IF(B41="","",(B48+B47)/B41)</f>
        <v>0.07327971403038427</v>
      </c>
      <c r="C49" s="82">
        <f>IF(B41="","",(C48+C47)/B41)</f>
        <v>0.07714158049278692</v>
      </c>
      <c r="D49" s="82">
        <f>IF(B41="","",(D48+D47)/B41)</f>
        <v>0</v>
      </c>
      <c r="E49" s="314">
        <f>IF(B41="","",IF(B49+C49+D49&gt;Bovinos_e_Comerc!$AD$5," -&gt; índices (somados) acima da média",IF(B49+C49+D49&lt;Bovinos_e_Comerc!$AD$4," -&gt; índices (somados) abaixo da média","")))</f>
      </c>
      <c r="F49" s="314"/>
      <c r="G49" s="314"/>
      <c r="H49" s="314"/>
      <c r="I49" s="2"/>
      <c r="J49" s="41" t="s">
        <v>71</v>
      </c>
      <c r="K49" s="83">
        <f>IF(B41="","-",(K48+K47)/B41)</f>
        <v>0.2110762160091919</v>
      </c>
      <c r="L49" s="83">
        <f>IF(B41="","-",(L48+L47)/B41)</f>
        <v>0.14339971913698454</v>
      </c>
      <c r="M49" s="83">
        <f>IF(B41="","-",(M48+M47+O47+N47+P47)/B41)</f>
        <v>0.024853185241925185</v>
      </c>
      <c r="N49" s="304">
        <f>IF(AND(K49="-",L49="-",M49="-"),"",IF(K49&gt;Bovinos_e_Comerc!$AA$5," -&gt; índice(s) fora da faixa média",IF(K49&lt;Bovinos_e_Comerc!$AA$4," -&gt; índice(s) fora da faixa média",IF(L49&gt;Bovinos_e_Comerc!$AB$5," -&gt; índice(s) fora da faixa média",IF(L49&lt;Bovinos_e_Comerc!$AB$4," -&gt; índice(s) fora da faixa média",IF(M49&gt;Bovinos_e_Comerc!$AC$5," -&gt; índice(s) fora da faixa média",IF(M49&lt;Bovinos_e_Comerc!$AC$4," -&gt; índice(s) fora da faixa média","")))))))</f>
      </c>
      <c r="O49" s="304"/>
      <c r="P49" s="304"/>
      <c r="R49" s="7" t="str">
        <f t="shared" si="0"/>
        <v>20/21</v>
      </c>
      <c r="S49" s="2" t="str">
        <f t="shared" si="3"/>
        <v>0720</v>
      </c>
      <c r="T49" s="56">
        <v>7008</v>
      </c>
      <c r="U49" s="56"/>
      <c r="X49" s="43">
        <f>P47</f>
        <v>0</v>
      </c>
      <c r="Y49" s="58" t="s">
        <v>72</v>
      </c>
    </row>
    <row r="50" spans="1:25" ht="7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7" t="str">
        <f t="shared" si="0"/>
        <v>20/21</v>
      </c>
      <c r="S50" s="2" t="str">
        <f t="shared" si="3"/>
        <v>0720</v>
      </c>
      <c r="T50" s="43" t="s">
        <v>73</v>
      </c>
      <c r="U50" s="43"/>
      <c r="X50" s="43">
        <f>+M47</f>
        <v>8</v>
      </c>
      <c r="Y50" s="45" t="s">
        <v>74</v>
      </c>
    </row>
    <row r="51" spans="1:25" ht="7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7" t="str">
        <f t="shared" si="0"/>
        <v>20/21</v>
      </c>
      <c r="S51" s="2" t="str">
        <f t="shared" si="3"/>
        <v>0720</v>
      </c>
      <c r="T51" s="43" t="s">
        <v>75</v>
      </c>
      <c r="U51" s="43">
        <f>+H41</f>
        <v>9409</v>
      </c>
      <c r="X51" s="43"/>
      <c r="Y51" s="45" t="s">
        <v>76</v>
      </c>
    </row>
    <row r="52" spans="1:32" s="28" customFormat="1" ht="16.5" customHeight="1">
      <c r="A52" s="20" t="s">
        <v>18</v>
      </c>
      <c r="B52" s="20" t="s">
        <v>81</v>
      </c>
      <c r="C52" s="21" t="s">
        <v>82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2"/>
      <c r="R52" s="23" t="str">
        <f t="shared" si="0"/>
        <v>20/21</v>
      </c>
      <c r="S52" s="84" t="str">
        <f>+B52</f>
        <v>1695</v>
      </c>
      <c r="T52" s="85">
        <v>7014</v>
      </c>
      <c r="U52" s="85"/>
      <c r="V52" s="84">
        <f>J56</f>
        <v>39203.25</v>
      </c>
      <c r="W52" s="84"/>
      <c r="X52" s="84"/>
      <c r="Y52" s="86" t="s">
        <v>21</v>
      </c>
      <c r="AA52" s="29"/>
      <c r="AB52" s="29"/>
      <c r="AC52" s="29"/>
      <c r="AD52" s="29"/>
      <c r="AE52" s="29"/>
      <c r="AF52" s="29"/>
    </row>
    <row r="53" spans="1:25" ht="6" customHeight="1">
      <c r="A53" s="31"/>
      <c r="B53" s="32"/>
      <c r="C53" s="33"/>
      <c r="D53" s="33"/>
      <c r="E53" s="33"/>
      <c r="F53" s="33"/>
      <c r="G53" s="2"/>
      <c r="H53" s="2"/>
      <c r="I53" s="34"/>
      <c r="J53" s="2"/>
      <c r="K53" s="2"/>
      <c r="L53" s="35"/>
      <c r="M53" s="2"/>
      <c r="N53" s="2"/>
      <c r="O53" s="2"/>
      <c r="P53" s="2"/>
      <c r="R53" s="7" t="str">
        <f t="shared" si="0"/>
        <v>20/21</v>
      </c>
      <c r="S53" s="2" t="str">
        <f aca="true" t="shared" si="4" ref="S53:S66">+S52</f>
        <v>1695</v>
      </c>
      <c r="V53" s="13">
        <f>M56</f>
        <v>23263</v>
      </c>
      <c r="Y53" s="2" t="s">
        <v>22</v>
      </c>
    </row>
    <row r="54" spans="1:25" ht="11.25" customHeight="1">
      <c r="A54" s="40"/>
      <c r="B54" s="305" t="s">
        <v>26</v>
      </c>
      <c r="C54" s="313" t="s">
        <v>27</v>
      </c>
      <c r="D54" s="313"/>
      <c r="E54" s="313" t="s">
        <v>28</v>
      </c>
      <c r="F54" s="313"/>
      <c r="G54" s="40"/>
      <c r="H54" s="313" t="s">
        <v>29</v>
      </c>
      <c r="I54" s="2"/>
      <c r="J54" s="309" t="s">
        <v>30</v>
      </c>
      <c r="K54" s="315"/>
      <c r="L54" s="315"/>
      <c r="M54" s="309" t="s">
        <v>31</v>
      </c>
      <c r="N54" s="42"/>
      <c r="O54" s="2"/>
      <c r="P54" s="309" t="s">
        <v>32</v>
      </c>
      <c r="R54" s="7" t="str">
        <f t="shared" si="0"/>
        <v>20/21</v>
      </c>
      <c r="S54" s="2" t="str">
        <f t="shared" si="4"/>
        <v>1695</v>
      </c>
      <c r="T54" s="43" t="s">
        <v>33</v>
      </c>
      <c r="U54" s="43"/>
      <c r="V54" s="43">
        <f>+B56</f>
        <v>30120</v>
      </c>
      <c r="W54" s="44">
        <f>+H62</f>
        <v>244.3849076378881</v>
      </c>
      <c r="X54" s="43">
        <f>B62+C62</f>
        <v>1526.6000000000001</v>
      </c>
      <c r="Y54" s="45" t="s">
        <v>34</v>
      </c>
    </row>
    <row r="55" spans="1:25" ht="12" customHeight="1">
      <c r="A55" s="40"/>
      <c r="B55" s="305"/>
      <c r="C55" s="46" t="s">
        <v>36</v>
      </c>
      <c r="D55" s="46" t="s">
        <v>37</v>
      </c>
      <c r="E55" s="46" t="s">
        <v>36</v>
      </c>
      <c r="F55" s="46" t="s">
        <v>37</v>
      </c>
      <c r="G55" s="40"/>
      <c r="H55" s="313"/>
      <c r="I55" s="2"/>
      <c r="J55" s="309"/>
      <c r="K55" s="315"/>
      <c r="L55" s="315"/>
      <c r="M55" s="315"/>
      <c r="N55" s="42"/>
      <c r="O55" s="2"/>
      <c r="P55" s="309"/>
      <c r="R55" s="7" t="str">
        <f t="shared" si="0"/>
        <v>20/21</v>
      </c>
      <c r="S55" s="2" t="str">
        <f t="shared" si="4"/>
        <v>1695</v>
      </c>
      <c r="T55" s="43" t="s">
        <v>38</v>
      </c>
      <c r="U55" s="43"/>
      <c r="V55" s="87"/>
      <c r="W55" s="44">
        <f>H63</f>
        <v>221.48985063194178</v>
      </c>
      <c r="X55" s="43">
        <f>B63+C63</f>
        <v>1044.4</v>
      </c>
      <c r="Y55" s="45" t="s">
        <v>39</v>
      </c>
    </row>
    <row r="56" spans="1:25" ht="16.5" customHeight="1">
      <c r="A56" s="305" t="s">
        <v>40</v>
      </c>
      <c r="B56" s="310">
        <f>SUM(Reb__Est__por_faixa_etária!O8)</f>
        <v>30120</v>
      </c>
      <c r="C56" s="48">
        <f>'Leite_-_Produção'!Y11</f>
        <v>0.038811420982735725</v>
      </c>
      <c r="D56" s="48">
        <f>100%-(C56+E56+F56)</f>
        <v>0.6911885790172643</v>
      </c>
      <c r="E56" s="92"/>
      <c r="F56" s="92">
        <v>0.27</v>
      </c>
      <c r="G56" s="40" t="str">
        <f>IF(SUM(C57:F57)=0,"",IF(SUM(C56:F56)&lt;1,"&lt;100%",IF(SUM(C56:F56)&gt;1,"&gt;100%","OK")))</f>
        <v>OK</v>
      </c>
      <c r="H56" s="50">
        <f>Reb__Est__por_faixa_etária!B20</f>
        <v>9695</v>
      </c>
      <c r="I56" s="2"/>
      <c r="J56" s="51">
        <f>'Leite_-_Produção'!R11</f>
        <v>39203.25</v>
      </c>
      <c r="K56" s="52"/>
      <c r="L56" s="311"/>
      <c r="M56" s="53">
        <f>TRUNC(((C57+E57)*Bovinos_e_Comerc!$AD$8)+D57*Bovinos_e_Comerc!$AD$9,0)</f>
        <v>23263</v>
      </c>
      <c r="N56" s="54"/>
      <c r="O56" s="2"/>
      <c r="P56" s="55">
        <f>IF(OR(H56="",B56=""),"-",(D57+F57)/H56)</f>
        <v>2.986178442496132</v>
      </c>
      <c r="R56" s="7" t="str">
        <f t="shared" si="0"/>
        <v>20/21</v>
      </c>
      <c r="S56" s="2" t="str">
        <f t="shared" si="4"/>
        <v>1695</v>
      </c>
      <c r="T56" s="56">
        <v>7590</v>
      </c>
      <c r="U56" s="56"/>
      <c r="V56" s="87"/>
      <c r="W56" s="57">
        <f>+G62</f>
        <v>0</v>
      </c>
      <c r="X56" s="43">
        <f>D62</f>
        <v>0</v>
      </c>
      <c r="Y56" s="58" t="s">
        <v>41</v>
      </c>
    </row>
    <row r="57" spans="1:25" ht="16.5" customHeight="1">
      <c r="A57" s="305"/>
      <c r="B57" s="310"/>
      <c r="C57" s="61">
        <f>+C56*B56</f>
        <v>1169</v>
      </c>
      <c r="D57" s="61">
        <f>+D56*B56</f>
        <v>20818.6</v>
      </c>
      <c r="E57" s="61">
        <f>+E56*B56</f>
        <v>0</v>
      </c>
      <c r="F57" s="61">
        <f>+F56*B56</f>
        <v>8132.400000000001</v>
      </c>
      <c r="G57" s="40"/>
      <c r="H57" s="40"/>
      <c r="I57" s="2"/>
      <c r="J57" s="40"/>
      <c r="K57" s="40"/>
      <c r="L57" s="311"/>
      <c r="M57" s="40"/>
      <c r="N57" s="40"/>
      <c r="O57" s="40"/>
      <c r="P57" s="40"/>
      <c r="R57" s="7" t="str">
        <f t="shared" si="0"/>
        <v>20/21</v>
      </c>
      <c r="S57" s="2" t="str">
        <f t="shared" si="4"/>
        <v>1695</v>
      </c>
      <c r="T57" s="43" t="s">
        <v>42</v>
      </c>
      <c r="U57" s="43"/>
      <c r="V57" s="87"/>
      <c r="W57" s="87"/>
      <c r="X57" s="43">
        <f>K62</f>
        <v>900.1999999999999</v>
      </c>
      <c r="Y57" s="45" t="s">
        <v>43</v>
      </c>
    </row>
    <row r="58" spans="1:25" ht="4.5" customHeight="1">
      <c r="A58" s="88"/>
      <c r="B58" s="89"/>
      <c r="C58" s="90"/>
      <c r="D58" s="90"/>
      <c r="E58" s="90"/>
      <c r="F58" s="90"/>
      <c r="G58" s="90"/>
      <c r="H58" s="40"/>
      <c r="I58" s="34"/>
      <c r="J58" s="40"/>
      <c r="K58" s="40"/>
      <c r="L58" s="91"/>
      <c r="M58" s="40"/>
      <c r="N58" s="40"/>
      <c r="O58" s="40"/>
      <c r="P58" s="40"/>
      <c r="R58" s="7" t="str">
        <f t="shared" si="0"/>
        <v>20/21</v>
      </c>
      <c r="S58" s="2" t="str">
        <f t="shared" si="4"/>
        <v>1695</v>
      </c>
      <c r="T58" s="43" t="s">
        <v>44</v>
      </c>
      <c r="U58" s="43"/>
      <c r="V58" s="87"/>
      <c r="W58" s="87"/>
      <c r="X58" s="43">
        <f>K63</f>
        <v>763.1999999999999</v>
      </c>
      <c r="Y58" s="45" t="s">
        <v>45</v>
      </c>
    </row>
    <row r="59" spans="1:25" ht="16.5" customHeight="1">
      <c r="A59" s="307" t="s">
        <v>46</v>
      </c>
      <c r="B59" s="312" t="s">
        <v>47</v>
      </c>
      <c r="C59" s="312"/>
      <c r="D59" s="312"/>
      <c r="E59" s="312" t="s">
        <v>48</v>
      </c>
      <c r="F59" s="312"/>
      <c r="G59" s="312"/>
      <c r="H59" s="313" t="s">
        <v>49</v>
      </c>
      <c r="I59" s="2"/>
      <c r="J59" s="307" t="s">
        <v>46</v>
      </c>
      <c r="K59" s="312" t="s">
        <v>50</v>
      </c>
      <c r="L59" s="312"/>
      <c r="M59" s="312"/>
      <c r="N59" s="305" t="s">
        <v>51</v>
      </c>
      <c r="O59" s="305"/>
      <c r="P59" s="305"/>
      <c r="R59" s="7" t="str">
        <f t="shared" si="0"/>
        <v>20/21</v>
      </c>
      <c r="S59" s="2" t="str">
        <f t="shared" si="4"/>
        <v>1695</v>
      </c>
      <c r="T59" s="43" t="s">
        <v>52</v>
      </c>
      <c r="U59" s="43"/>
      <c r="V59" s="87"/>
      <c r="W59" s="87"/>
      <c r="X59" s="43">
        <f>L62</f>
        <v>491.85</v>
      </c>
      <c r="Y59" s="45" t="s">
        <v>53</v>
      </c>
    </row>
    <row r="60" spans="1:25" ht="16.5" customHeight="1">
      <c r="A60" s="307"/>
      <c r="B60" s="306" t="s">
        <v>54</v>
      </c>
      <c r="C60" s="306" t="s">
        <v>55</v>
      </c>
      <c r="D60" s="306" t="s">
        <v>56</v>
      </c>
      <c r="E60" s="306" t="s">
        <v>54</v>
      </c>
      <c r="F60" s="306" t="s">
        <v>55</v>
      </c>
      <c r="G60" s="306" t="s">
        <v>56</v>
      </c>
      <c r="H60" s="313"/>
      <c r="I60" s="2"/>
      <c r="J60" s="307"/>
      <c r="K60" s="308" t="s">
        <v>57</v>
      </c>
      <c r="L60" s="308" t="s">
        <v>58</v>
      </c>
      <c r="M60" s="308" t="s">
        <v>59</v>
      </c>
      <c r="N60" s="305"/>
      <c r="O60" s="305"/>
      <c r="P60" s="305"/>
      <c r="R60" s="7" t="str">
        <f t="shared" si="0"/>
        <v>20/21</v>
      </c>
      <c r="S60" s="2" t="str">
        <f t="shared" si="4"/>
        <v>1695</v>
      </c>
      <c r="T60" s="43" t="s">
        <v>60</v>
      </c>
      <c r="U60" s="43"/>
      <c r="X60" s="43">
        <f>+L63</f>
        <v>3157.2</v>
      </c>
      <c r="Y60" s="45" t="s">
        <v>61</v>
      </c>
    </row>
    <row r="61" spans="1:25" ht="18" customHeight="1">
      <c r="A61" s="307"/>
      <c r="B61" s="307"/>
      <c r="C61" s="307"/>
      <c r="D61" s="307"/>
      <c r="E61" s="307"/>
      <c r="F61" s="307"/>
      <c r="G61" s="307"/>
      <c r="H61" s="307"/>
      <c r="I61" s="2"/>
      <c r="J61" s="307"/>
      <c r="K61" s="307"/>
      <c r="L61" s="307"/>
      <c r="M61" s="307"/>
      <c r="N61" s="75" t="s">
        <v>62</v>
      </c>
      <c r="O61" s="75" t="s">
        <v>63</v>
      </c>
      <c r="P61" s="75" t="s">
        <v>64</v>
      </c>
      <c r="R61" s="7" t="str">
        <f t="shared" si="0"/>
        <v>20/21</v>
      </c>
      <c r="S61" s="2" t="str">
        <f t="shared" si="4"/>
        <v>1695</v>
      </c>
      <c r="T61" s="43" t="s">
        <v>65</v>
      </c>
      <c r="U61" s="43"/>
      <c r="X61" s="43">
        <f>+M63</f>
        <v>627.9</v>
      </c>
      <c r="Y61" s="45" t="s">
        <v>66</v>
      </c>
    </row>
    <row r="62" spans="1:25" ht="16.5" customHeight="1">
      <c r="A62" s="75" t="s">
        <v>67</v>
      </c>
      <c r="B62" s="77">
        <f>SUM('GTA_NR_FB_relatório para Deral'!O47)</f>
        <v>732</v>
      </c>
      <c r="C62" s="77">
        <f>SUM('GTA_NR_FB_relatório para Deral'!P47)</f>
        <v>794.6000000000001</v>
      </c>
      <c r="D62" s="77"/>
      <c r="E62" s="77">
        <v>260</v>
      </c>
      <c r="F62" s="77">
        <v>230</v>
      </c>
      <c r="G62" s="77"/>
      <c r="H62" s="78">
        <f>IF(B62="","",((E62*B62+F62*C62)/SUM(B62:C62)))</f>
        <v>244.3849076378881</v>
      </c>
      <c r="I62" s="2"/>
      <c r="J62" s="75" t="s">
        <v>67</v>
      </c>
      <c r="K62" s="77">
        <f>SUM('GTA_NR_FB_relatório para Deral'!O54)</f>
        <v>900.1999999999999</v>
      </c>
      <c r="L62" s="77">
        <f>SUM('GTA_NR_FB_relatório para Deral'!P54)</f>
        <v>491.85</v>
      </c>
      <c r="M62" s="77">
        <f>SUM('GTA_NR_FB_relatório para Deral'!Q54)</f>
        <v>0</v>
      </c>
      <c r="N62" s="77"/>
      <c r="O62" s="77"/>
      <c r="P62" s="77"/>
      <c r="R62" s="7" t="str">
        <f t="shared" si="0"/>
        <v>20/21</v>
      </c>
      <c r="S62" s="2" t="str">
        <f t="shared" si="4"/>
        <v>1695</v>
      </c>
      <c r="T62" s="56">
        <v>7006</v>
      </c>
      <c r="U62" s="56"/>
      <c r="X62" s="43">
        <f>N62</f>
        <v>0</v>
      </c>
      <c r="Y62" s="58" t="s">
        <v>68</v>
      </c>
    </row>
    <row r="63" spans="1:25" ht="16.5" customHeight="1">
      <c r="A63" s="75" t="s">
        <v>69</v>
      </c>
      <c r="B63" s="77">
        <f>SUM('GTA_NR_FB_relatório para Deral'!O48)</f>
        <v>600</v>
      </c>
      <c r="C63" s="77">
        <f>SUM('GTA_NR_FB_relatório para Deral'!P48)</f>
        <v>444.40000000000003</v>
      </c>
      <c r="D63" s="40"/>
      <c r="E63" s="77">
        <v>230</v>
      </c>
      <c r="F63" s="77">
        <v>210</v>
      </c>
      <c r="G63" s="79"/>
      <c r="H63" s="78">
        <f>IF(B63="","",((E63*B63+F63*C63)/SUM(B63:C63)))</f>
        <v>221.48985063194178</v>
      </c>
      <c r="I63" s="2"/>
      <c r="J63" s="75" t="s">
        <v>69</v>
      </c>
      <c r="K63" s="77">
        <f>SUM('GTA_NR_FB_relatório para Deral'!O55)</f>
        <v>763.1999999999999</v>
      </c>
      <c r="L63" s="77">
        <f>SUM('GTA_NR_FB_relatório para Deral'!P55)</f>
        <v>3157.2</v>
      </c>
      <c r="M63" s="80">
        <f>SUM('GTA_NR_FB_relatório para Deral'!Q55)</f>
        <v>627.9</v>
      </c>
      <c r="N63" s="81"/>
      <c r="O63" s="81"/>
      <c r="P63" s="81"/>
      <c r="R63" s="7" t="str">
        <f t="shared" si="0"/>
        <v>20/21</v>
      </c>
      <c r="S63" s="2" t="str">
        <f t="shared" si="4"/>
        <v>1695</v>
      </c>
      <c r="T63" s="56">
        <v>7007</v>
      </c>
      <c r="U63" s="56"/>
      <c r="X63" s="43">
        <f>O62</f>
        <v>0</v>
      </c>
      <c r="Y63" s="58" t="s">
        <v>70</v>
      </c>
    </row>
    <row r="64" spans="1:25" ht="18" customHeight="1">
      <c r="A64" s="41" t="s">
        <v>71</v>
      </c>
      <c r="B64" s="82">
        <f>IF(B56="","",(B63+B62)/B56)</f>
        <v>0.044223107569721115</v>
      </c>
      <c r="C64" s="82">
        <f>IF(B56="","",(C63+C62)/B56)</f>
        <v>0.041135458167330684</v>
      </c>
      <c r="D64" s="82">
        <f>IF(B56="","",(D63+D62)/B56)</f>
        <v>0</v>
      </c>
      <c r="E64" s="314" t="str">
        <f>IF(B56="","",IF(B64+C64+D64&gt;Bovinos_e_Comerc!$AD$5," -&gt; índices (somados) acima da média",IF(B64+C64+D64&lt;Bovinos_e_Comerc!$AD$4," -&gt; índices (somados) abaixo da média","")))</f>
        <v> -&gt; índices (somados) abaixo da média</v>
      </c>
      <c r="F64" s="314"/>
      <c r="G64" s="314"/>
      <c r="H64" s="314"/>
      <c r="I64" s="2"/>
      <c r="J64" s="41" t="s">
        <v>71</v>
      </c>
      <c r="K64" s="83">
        <f>IF(B56="","-",(K63+K62)/B56)</f>
        <v>0.05522576361221779</v>
      </c>
      <c r="L64" s="83">
        <f>IF(B56="","-",(L63+L62)/B56)</f>
        <v>0.1211503984063745</v>
      </c>
      <c r="M64" s="83">
        <f>IF(B56="","-",(M63+M62+O62+N62+P62)/B56)</f>
        <v>0.020846613545816732</v>
      </c>
      <c r="N64" s="304">
        <f>IF(AND(K64="-",L64="-",M64="-"),"",IF(K64&gt;Bovinos_e_Comerc!$AA$5," -&gt; índice(s) fora da faixa média",IF(K64&lt;Bovinos_e_Comerc!$AA$4," -&gt; índice(s) fora da faixa média",IF(L64&gt;Bovinos_e_Comerc!$AB$5," -&gt; índice(s) fora da faixa média",IF(L64&lt;Bovinos_e_Comerc!$AB$4," -&gt; índice(s) fora da faixa média",IF(M64&gt;Bovinos_e_Comerc!$AC$5," -&gt; índice(s) fora da faixa média",IF(M64&lt;Bovinos_e_Comerc!$AC$4," -&gt; índice(s) fora da faixa média","")))))))</f>
      </c>
      <c r="O64" s="304"/>
      <c r="P64" s="304"/>
      <c r="R64" s="7" t="str">
        <f t="shared" si="0"/>
        <v>20/21</v>
      </c>
      <c r="S64" s="2" t="str">
        <f t="shared" si="4"/>
        <v>1695</v>
      </c>
      <c r="T64" s="56">
        <v>7008</v>
      </c>
      <c r="U64" s="56"/>
      <c r="X64" s="43">
        <f>P62</f>
        <v>0</v>
      </c>
      <c r="Y64" s="58" t="s">
        <v>72</v>
      </c>
    </row>
    <row r="65" spans="1:25" ht="7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7" t="str">
        <f t="shared" si="0"/>
        <v>20/21</v>
      </c>
      <c r="S65" s="2" t="str">
        <f t="shared" si="4"/>
        <v>1695</v>
      </c>
      <c r="T65" s="43" t="s">
        <v>73</v>
      </c>
      <c r="U65" s="43"/>
      <c r="W65" s="18"/>
      <c r="X65" s="43">
        <f>+M62</f>
        <v>0</v>
      </c>
      <c r="Y65" s="45" t="s">
        <v>74</v>
      </c>
    </row>
    <row r="66" spans="1:25" ht="7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7" t="str">
        <f t="shared" si="0"/>
        <v>20/21</v>
      </c>
      <c r="S66" s="2" t="str">
        <f t="shared" si="4"/>
        <v>1695</v>
      </c>
      <c r="T66" s="43" t="s">
        <v>75</v>
      </c>
      <c r="U66" s="43">
        <f>+H56</f>
        <v>9695</v>
      </c>
      <c r="W66" s="18"/>
      <c r="X66" s="43"/>
      <c r="Y66" s="45" t="s">
        <v>76</v>
      </c>
    </row>
    <row r="67" spans="1:32" s="28" customFormat="1" ht="16.5" customHeight="1">
      <c r="A67" s="20" t="s">
        <v>18</v>
      </c>
      <c r="B67" s="20" t="s">
        <v>83</v>
      </c>
      <c r="C67" s="21" t="s">
        <v>84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2"/>
      <c r="R67" s="23" t="str">
        <f t="shared" si="0"/>
        <v>20/21</v>
      </c>
      <c r="S67" s="24" t="str">
        <f>+B67</f>
        <v>1725</v>
      </c>
      <c r="T67" s="25">
        <v>7014</v>
      </c>
      <c r="U67" s="25"/>
      <c r="V67" s="26">
        <f>J71</f>
        <v>34361.25</v>
      </c>
      <c r="W67" s="26"/>
      <c r="X67" s="26"/>
      <c r="Y67" s="27" t="s">
        <v>21</v>
      </c>
      <c r="AA67" s="29"/>
      <c r="AB67" s="29"/>
      <c r="AC67" s="29"/>
      <c r="AD67" s="29"/>
      <c r="AE67" s="29"/>
      <c r="AF67" s="29"/>
    </row>
    <row r="68" spans="1:25" ht="6" customHeight="1">
      <c r="A68" s="31"/>
      <c r="B68" s="32"/>
      <c r="C68" s="33"/>
      <c r="D68" s="33"/>
      <c r="E68" s="33"/>
      <c r="F68" s="33"/>
      <c r="G68" s="2"/>
      <c r="H68" s="2"/>
      <c r="I68" s="34"/>
      <c r="J68" s="2"/>
      <c r="K68" s="2"/>
      <c r="L68" s="35"/>
      <c r="M68" s="2"/>
      <c r="N68" s="2"/>
      <c r="O68" s="2"/>
      <c r="P68" s="2"/>
      <c r="R68" s="7" t="str">
        <f t="shared" si="0"/>
        <v>20/21</v>
      </c>
      <c r="S68" s="2" t="str">
        <f aca="true" t="shared" si="5" ref="S68:S81">+S67</f>
        <v>1725</v>
      </c>
      <c r="V68" s="13">
        <f>M71</f>
        <v>17451</v>
      </c>
      <c r="Y68" s="2" t="s">
        <v>22</v>
      </c>
    </row>
    <row r="69" spans="1:25" ht="11.25" customHeight="1">
      <c r="A69" s="40"/>
      <c r="B69" s="305" t="s">
        <v>26</v>
      </c>
      <c r="C69" s="313" t="s">
        <v>27</v>
      </c>
      <c r="D69" s="313"/>
      <c r="E69" s="313" t="s">
        <v>28</v>
      </c>
      <c r="F69" s="313"/>
      <c r="G69" s="40"/>
      <c r="H69" s="313" t="s">
        <v>29</v>
      </c>
      <c r="I69" s="2"/>
      <c r="J69" s="309" t="s">
        <v>30</v>
      </c>
      <c r="K69" s="315"/>
      <c r="L69" s="315"/>
      <c r="M69" s="309" t="s">
        <v>31</v>
      </c>
      <c r="N69" s="42"/>
      <c r="O69" s="2"/>
      <c r="P69" s="309" t="s">
        <v>32</v>
      </c>
      <c r="R69" s="7" t="str">
        <f t="shared" si="0"/>
        <v>20/21</v>
      </c>
      <c r="S69" s="2" t="str">
        <f t="shared" si="5"/>
        <v>1725</v>
      </c>
      <c r="T69" s="43" t="s">
        <v>33</v>
      </c>
      <c r="U69" s="43"/>
      <c r="V69" s="43">
        <f>+B71</f>
        <v>27264</v>
      </c>
      <c r="W69" s="44">
        <f>+H77</f>
        <v>240.9076109076109</v>
      </c>
      <c r="X69" s="43">
        <f>B77+C77</f>
        <v>2948.4</v>
      </c>
      <c r="Y69" s="45" t="s">
        <v>34</v>
      </c>
    </row>
    <row r="70" spans="1:25" ht="12" customHeight="1">
      <c r="A70" s="40"/>
      <c r="B70" s="305"/>
      <c r="C70" s="46" t="s">
        <v>36</v>
      </c>
      <c r="D70" s="46" t="s">
        <v>37</v>
      </c>
      <c r="E70" s="46" t="s">
        <v>36</v>
      </c>
      <c r="F70" s="46" t="s">
        <v>37</v>
      </c>
      <c r="G70" s="40"/>
      <c r="H70" s="313"/>
      <c r="I70" s="2"/>
      <c r="J70" s="309"/>
      <c r="K70" s="315"/>
      <c r="L70" s="315"/>
      <c r="M70" s="315"/>
      <c r="N70" s="42"/>
      <c r="O70" s="2"/>
      <c r="P70" s="309"/>
      <c r="R70" s="7" t="str">
        <f t="shared" si="0"/>
        <v>20/21</v>
      </c>
      <c r="S70" s="2" t="str">
        <f t="shared" si="5"/>
        <v>1725</v>
      </c>
      <c r="T70" s="43" t="s">
        <v>38</v>
      </c>
      <c r="U70" s="43"/>
      <c r="V70" s="47"/>
      <c r="W70" s="44">
        <f>H78</f>
        <v>220.42104258163067</v>
      </c>
      <c r="X70" s="43">
        <f>B78+C78</f>
        <v>4189.6</v>
      </c>
      <c r="Y70" s="45" t="s">
        <v>39</v>
      </c>
    </row>
    <row r="71" spans="1:25" ht="16.5" customHeight="1">
      <c r="A71" s="305" t="s">
        <v>40</v>
      </c>
      <c r="B71" s="310">
        <f>SUM(Reb__Est__por_faixa_etária!O9)</f>
        <v>27264</v>
      </c>
      <c r="C71" s="48">
        <f>'Leite_-_Produção'!Y12</f>
        <v>0.007152288732394366</v>
      </c>
      <c r="D71" s="48">
        <f>100%-(C71+E71+F71)</f>
        <v>0.6728477112676057</v>
      </c>
      <c r="E71" s="92"/>
      <c r="F71" s="92">
        <v>0.32</v>
      </c>
      <c r="G71" s="40" t="str">
        <f>IF(SUM(C72:F72)=0,"",IF(SUM(C71:F71)&lt;1,"&lt;100%",IF(SUM(C71:F71)&gt;1,"&gt;100%","OK")))</f>
        <v>OK</v>
      </c>
      <c r="H71" s="50">
        <f>Reb__Est__por_faixa_etária!B21</f>
        <v>10465</v>
      </c>
      <c r="I71" s="2"/>
      <c r="J71" s="51">
        <f>'Leite_-_Produção'!R12</f>
        <v>34361.25</v>
      </c>
      <c r="K71" s="52"/>
      <c r="L71" s="311"/>
      <c r="M71" s="53">
        <f>TRUNC(((C72+E72)*Bovinos_e_Comerc!$AD$8)+D72*Bovinos_e_Comerc!$AD$9,0)</f>
        <v>17451</v>
      </c>
      <c r="N71" s="54"/>
      <c r="O71" s="2"/>
      <c r="P71" s="55">
        <f>IF(OR(H71="",B71=""),"-",(D72+F72)/H71)</f>
        <v>2.5866220735785954</v>
      </c>
      <c r="R71" s="7" t="str">
        <f t="shared" si="0"/>
        <v>20/21</v>
      </c>
      <c r="S71" s="2" t="str">
        <f t="shared" si="5"/>
        <v>1725</v>
      </c>
      <c r="T71" s="56">
        <v>7590</v>
      </c>
      <c r="U71" s="56"/>
      <c r="V71" s="47"/>
      <c r="W71" s="57">
        <f>+G77</f>
        <v>0</v>
      </c>
      <c r="X71" s="43">
        <f>D77</f>
        <v>0</v>
      </c>
      <c r="Y71" s="58" t="s">
        <v>41</v>
      </c>
    </row>
    <row r="72" spans="1:25" ht="16.5" customHeight="1">
      <c r="A72" s="305"/>
      <c r="B72" s="310"/>
      <c r="C72" s="61">
        <f>+C71*B71</f>
        <v>195</v>
      </c>
      <c r="D72" s="61">
        <f>+D71*B71</f>
        <v>18344.52</v>
      </c>
      <c r="E72" s="61">
        <f>+E71*B71</f>
        <v>0</v>
      </c>
      <c r="F72" s="61">
        <f>+F71*B71</f>
        <v>8724.48</v>
      </c>
      <c r="G72" s="40"/>
      <c r="H72" s="40"/>
      <c r="I72" s="2"/>
      <c r="J72" s="40"/>
      <c r="K72" s="40"/>
      <c r="L72" s="311"/>
      <c r="M72" s="40"/>
      <c r="N72" s="40"/>
      <c r="O72" s="40"/>
      <c r="P72" s="40"/>
      <c r="R72" s="7" t="str">
        <f t="shared" si="0"/>
        <v>20/21</v>
      </c>
      <c r="S72" s="2" t="str">
        <f t="shared" si="5"/>
        <v>1725</v>
      </c>
      <c r="T72" s="43" t="s">
        <v>42</v>
      </c>
      <c r="U72" s="43"/>
      <c r="V72" s="47"/>
      <c r="W72" s="47"/>
      <c r="X72" s="43">
        <f>K77</f>
        <v>3775.36</v>
      </c>
      <c r="Y72" s="45" t="s">
        <v>43</v>
      </c>
    </row>
    <row r="73" spans="1:25" ht="4.5" customHeight="1">
      <c r="A73" s="88"/>
      <c r="B73" s="89"/>
      <c r="C73" s="90"/>
      <c r="D73" s="90"/>
      <c r="E73" s="90"/>
      <c r="F73" s="90"/>
      <c r="G73" s="90"/>
      <c r="H73" s="40"/>
      <c r="I73" s="34"/>
      <c r="J73" s="40"/>
      <c r="K73" s="40"/>
      <c r="L73" s="91"/>
      <c r="M73" s="40"/>
      <c r="N73" s="40"/>
      <c r="O73" s="40"/>
      <c r="P73" s="40"/>
      <c r="R73" s="7" t="str">
        <f t="shared" si="0"/>
        <v>20/21</v>
      </c>
      <c r="S73" s="2" t="str">
        <f t="shared" si="5"/>
        <v>1725</v>
      </c>
      <c r="T73" s="43" t="s">
        <v>44</v>
      </c>
      <c r="U73" s="43"/>
      <c r="V73" s="47"/>
      <c r="W73" s="47"/>
      <c r="X73" s="43">
        <f>K78</f>
        <v>2153.8</v>
      </c>
      <c r="Y73" s="45" t="s">
        <v>45</v>
      </c>
    </row>
    <row r="74" spans="1:25" ht="16.5" customHeight="1">
      <c r="A74" s="307" t="s">
        <v>46</v>
      </c>
      <c r="B74" s="312" t="s">
        <v>47</v>
      </c>
      <c r="C74" s="312"/>
      <c r="D74" s="312"/>
      <c r="E74" s="312" t="s">
        <v>48</v>
      </c>
      <c r="F74" s="312"/>
      <c r="G74" s="312"/>
      <c r="H74" s="313" t="s">
        <v>49</v>
      </c>
      <c r="I74" s="2"/>
      <c r="J74" s="307" t="s">
        <v>46</v>
      </c>
      <c r="K74" s="312" t="s">
        <v>50</v>
      </c>
      <c r="L74" s="312"/>
      <c r="M74" s="312"/>
      <c r="N74" s="305" t="s">
        <v>51</v>
      </c>
      <c r="O74" s="305"/>
      <c r="P74" s="305"/>
      <c r="R74" s="7" t="str">
        <f t="shared" si="0"/>
        <v>20/21</v>
      </c>
      <c r="S74" s="2" t="str">
        <f t="shared" si="5"/>
        <v>1725</v>
      </c>
      <c r="T74" s="43" t="s">
        <v>52</v>
      </c>
      <c r="U74" s="43"/>
      <c r="V74" s="47"/>
      <c r="W74" s="47"/>
      <c r="X74" s="43">
        <f>L77</f>
        <v>2503.8999999999996</v>
      </c>
      <c r="Y74" s="45" t="s">
        <v>53</v>
      </c>
    </row>
    <row r="75" spans="1:25" ht="16.5" customHeight="1">
      <c r="A75" s="307"/>
      <c r="B75" s="306" t="s">
        <v>54</v>
      </c>
      <c r="C75" s="306" t="s">
        <v>55</v>
      </c>
      <c r="D75" s="306" t="s">
        <v>56</v>
      </c>
      <c r="E75" s="306" t="s">
        <v>54</v>
      </c>
      <c r="F75" s="306" t="s">
        <v>55</v>
      </c>
      <c r="G75" s="306" t="s">
        <v>56</v>
      </c>
      <c r="H75" s="313"/>
      <c r="I75" s="2"/>
      <c r="J75" s="307"/>
      <c r="K75" s="308" t="s">
        <v>57</v>
      </c>
      <c r="L75" s="308" t="s">
        <v>58</v>
      </c>
      <c r="M75" s="308" t="s">
        <v>59</v>
      </c>
      <c r="N75" s="305"/>
      <c r="O75" s="305"/>
      <c r="P75" s="305"/>
      <c r="R75" s="7" t="str">
        <f t="shared" si="0"/>
        <v>20/21</v>
      </c>
      <c r="S75" s="2" t="str">
        <f t="shared" si="5"/>
        <v>1725</v>
      </c>
      <c r="T75" s="43" t="s">
        <v>60</v>
      </c>
      <c r="U75" s="43"/>
      <c r="X75" s="43">
        <f>+L78</f>
        <v>5055.12</v>
      </c>
      <c r="Y75" s="45" t="s">
        <v>61</v>
      </c>
    </row>
    <row r="76" spans="1:25" ht="18" customHeight="1">
      <c r="A76" s="307"/>
      <c r="B76" s="307"/>
      <c r="C76" s="307"/>
      <c r="D76" s="307"/>
      <c r="E76" s="307"/>
      <c r="F76" s="307"/>
      <c r="G76" s="307"/>
      <c r="H76" s="307"/>
      <c r="I76" s="2"/>
      <c r="J76" s="307"/>
      <c r="K76" s="307"/>
      <c r="L76" s="307"/>
      <c r="M76" s="307"/>
      <c r="N76" s="75" t="s">
        <v>62</v>
      </c>
      <c r="O76" s="75" t="s">
        <v>63</v>
      </c>
      <c r="P76" s="75" t="s">
        <v>64</v>
      </c>
      <c r="R76" s="7" t="str">
        <f t="shared" si="0"/>
        <v>20/21</v>
      </c>
      <c r="S76" s="2" t="str">
        <f t="shared" si="5"/>
        <v>1725</v>
      </c>
      <c r="T76" s="43" t="s">
        <v>65</v>
      </c>
      <c r="U76" s="43"/>
      <c r="X76" s="43">
        <f>+M78</f>
        <v>862.4</v>
      </c>
      <c r="Y76" s="45" t="s">
        <v>66</v>
      </c>
    </row>
    <row r="77" spans="1:25" ht="16.5" customHeight="1">
      <c r="A77" s="75" t="s">
        <v>67</v>
      </c>
      <c r="B77" s="77">
        <f>SUM('GTA_NR_FB_relatório para Deral'!O61)</f>
        <v>1072</v>
      </c>
      <c r="C77" s="77">
        <f>SUM('GTA_NR_FB_relatório para Deral'!P61)</f>
        <v>1876.4</v>
      </c>
      <c r="D77" s="77"/>
      <c r="E77" s="77">
        <v>260</v>
      </c>
      <c r="F77" s="77">
        <v>230</v>
      </c>
      <c r="G77" s="77"/>
      <c r="H77" s="78">
        <f>IF(B77="","",((E77*B77+F77*C77)/SUM(B77:C77)))</f>
        <v>240.9076109076109</v>
      </c>
      <c r="I77" s="2"/>
      <c r="J77" s="75" t="s">
        <v>67</v>
      </c>
      <c r="K77" s="77">
        <f>SUM('GTA_NR_FB_relatório para Deral'!O68)</f>
        <v>3775.36</v>
      </c>
      <c r="L77" s="77">
        <f>SUM('GTA_NR_FB_relatório para Deral'!P68)</f>
        <v>2503.8999999999996</v>
      </c>
      <c r="M77" s="77">
        <f>SUM('GTA_NR_FB_relatório para Deral'!Q68)</f>
        <v>20</v>
      </c>
      <c r="N77" s="77"/>
      <c r="O77" s="77"/>
      <c r="P77" s="77"/>
      <c r="R77" s="7" t="str">
        <f t="shared" si="0"/>
        <v>20/21</v>
      </c>
      <c r="S77" s="2" t="str">
        <f t="shared" si="5"/>
        <v>1725</v>
      </c>
      <c r="T77" s="56">
        <v>7006</v>
      </c>
      <c r="U77" s="56"/>
      <c r="X77" s="43">
        <f>N77</f>
        <v>0</v>
      </c>
      <c r="Y77" s="58" t="s">
        <v>68</v>
      </c>
    </row>
    <row r="78" spans="1:25" ht="16.5" customHeight="1">
      <c r="A78" s="75" t="s">
        <v>69</v>
      </c>
      <c r="B78" s="77">
        <f>SUM('GTA_NR_FB_relatório para Deral'!O62)</f>
        <v>2183</v>
      </c>
      <c r="C78" s="77">
        <f>SUM('GTA_NR_FB_relatório para Deral'!P62)</f>
        <v>2006.6</v>
      </c>
      <c r="D78" s="40"/>
      <c r="E78" s="77">
        <v>230</v>
      </c>
      <c r="F78" s="77">
        <v>210</v>
      </c>
      <c r="G78" s="79"/>
      <c r="H78" s="78">
        <f>IF(B78="","",((E78*B78+F78*C78)/SUM(B78:C78)))</f>
        <v>220.42104258163067</v>
      </c>
      <c r="I78" s="2"/>
      <c r="J78" s="75" t="s">
        <v>69</v>
      </c>
      <c r="K78" s="77">
        <f>SUM('GTA_NR_FB_relatório para Deral'!O69)</f>
        <v>2153.8</v>
      </c>
      <c r="L78" s="77">
        <f>SUM('GTA_NR_FB_relatório para Deral'!P69)</f>
        <v>5055.12</v>
      </c>
      <c r="M78" s="80">
        <f>SUM('GTA_NR_FB_relatório para Deral'!Q69)</f>
        <v>862.4</v>
      </c>
      <c r="N78" s="81"/>
      <c r="O78" s="81"/>
      <c r="P78" s="81"/>
      <c r="R78" s="7" t="str">
        <f t="shared" si="0"/>
        <v>20/21</v>
      </c>
      <c r="S78" s="2" t="str">
        <f t="shared" si="5"/>
        <v>1725</v>
      </c>
      <c r="T78" s="56">
        <v>7007</v>
      </c>
      <c r="U78" s="56"/>
      <c r="X78" s="43">
        <f>O77</f>
        <v>0</v>
      </c>
      <c r="Y78" s="58" t="s">
        <v>70</v>
      </c>
    </row>
    <row r="79" spans="1:25" ht="18" customHeight="1">
      <c r="A79" s="41" t="s">
        <v>71</v>
      </c>
      <c r="B79" s="82">
        <f>IF(B71="","",(B78+B77)/B71)</f>
        <v>0.11938820422535211</v>
      </c>
      <c r="C79" s="82">
        <f>IF(B71="","",(C78+C77)/B71)</f>
        <v>0.14242224178403756</v>
      </c>
      <c r="D79" s="82">
        <f>IF(B71="","",(D78+D77)/B71)</f>
        <v>0</v>
      </c>
      <c r="E79" s="303">
        <f>IF(B71="","",IF(B79+C79+D79&gt;Bovinos_e_Comerc!$AD$5," -&gt; índices (somados) acima da média",IF(B79+C79+D79&lt;Bovinos_e_Comerc!$AD$4," -&gt; índices (somados) abaixo da média","")))</f>
      </c>
      <c r="F79" s="303"/>
      <c r="G79" s="303"/>
      <c r="H79" s="303"/>
      <c r="I79" s="2"/>
      <c r="J79" s="41" t="s">
        <v>71</v>
      </c>
      <c r="K79" s="83">
        <f>IF(B71="","-",(K78+K77)/B71)</f>
        <v>0.21747212441314553</v>
      </c>
      <c r="L79" s="83">
        <f>IF(B71="","-",(L78+L77)/B71)</f>
        <v>0.27725278755868543</v>
      </c>
      <c r="M79" s="83">
        <f>IF(B71="","-",(M78+M77+O77+N77+P77)/B71)</f>
        <v>0.032365023474178405</v>
      </c>
      <c r="N79" s="304">
        <f>IF(AND(K79="-",L79="-",M79="-"),"",IF(K79&gt;Bovinos_e_Comerc!$AA$5," -&gt; índice(s) fora da faixa média",IF(K79&lt;Bovinos_e_Comerc!$AA$4," -&gt; índice(s) fora da faixa média",IF(L79&gt;Bovinos_e_Comerc!$AB$5," -&gt; índice(s) fora da faixa média",IF(L79&lt;Bovinos_e_Comerc!$AB$4," -&gt; índice(s) fora da faixa média",IF(M79&gt;Bovinos_e_Comerc!$AC$5," -&gt; índice(s) fora da faixa média",IF(M79&lt;Bovinos_e_Comerc!$AC$4," -&gt; índice(s) fora da faixa média","")))))))</f>
      </c>
      <c r="O79" s="304"/>
      <c r="P79" s="304"/>
      <c r="R79" s="7" t="str">
        <f t="shared" si="0"/>
        <v>20/21</v>
      </c>
      <c r="S79" s="2" t="str">
        <f t="shared" si="5"/>
        <v>1725</v>
      </c>
      <c r="T79" s="56">
        <v>7008</v>
      </c>
      <c r="U79" s="56"/>
      <c r="X79" s="43">
        <f>P77</f>
        <v>0</v>
      </c>
      <c r="Y79" s="58" t="s">
        <v>72</v>
      </c>
    </row>
    <row r="80" spans="1:25" ht="7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R80" s="7" t="str">
        <f t="shared" si="0"/>
        <v>20/21</v>
      </c>
      <c r="S80" s="2" t="str">
        <f t="shared" si="5"/>
        <v>1725</v>
      </c>
      <c r="T80" s="43" t="s">
        <v>73</v>
      </c>
      <c r="U80" s="43"/>
      <c r="X80" s="43">
        <f>+M77</f>
        <v>20</v>
      </c>
      <c r="Y80" s="45" t="s">
        <v>74</v>
      </c>
    </row>
    <row r="81" spans="1:25" ht="7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R81" s="7" t="str">
        <f t="shared" si="0"/>
        <v>20/21</v>
      </c>
      <c r="S81" s="2" t="str">
        <f t="shared" si="5"/>
        <v>1725</v>
      </c>
      <c r="T81" s="43" t="s">
        <v>75</v>
      </c>
      <c r="U81" s="43">
        <f>+H71</f>
        <v>10465</v>
      </c>
      <c r="X81" s="43"/>
      <c r="Y81" s="45" t="s">
        <v>76</v>
      </c>
    </row>
    <row r="82" spans="1:32" s="28" customFormat="1" ht="16.5" customHeight="1">
      <c r="A82" s="20" t="s">
        <v>18</v>
      </c>
      <c r="B82" s="20" t="s">
        <v>85</v>
      </c>
      <c r="C82" s="21" t="s">
        <v>86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2"/>
      <c r="R82" s="23" t="str">
        <f t="shared" si="0"/>
        <v>20/21</v>
      </c>
      <c r="S82" s="84" t="str">
        <f>+B82</f>
        <v>2300</v>
      </c>
      <c r="T82" s="85">
        <v>7014</v>
      </c>
      <c r="U82" s="85"/>
      <c r="V82" s="84">
        <f>J86</f>
        <v>40073.664</v>
      </c>
      <c r="W82" s="84"/>
      <c r="X82" s="84"/>
      <c r="Y82" s="86" t="s">
        <v>21</v>
      </c>
      <c r="AA82" s="29"/>
      <c r="AB82" s="29"/>
      <c r="AC82" s="29"/>
      <c r="AD82" s="29"/>
      <c r="AE82" s="29"/>
      <c r="AF82" s="29"/>
    </row>
    <row r="83" spans="1:25" ht="6" customHeight="1">
      <c r="A83" s="31"/>
      <c r="B83" s="32"/>
      <c r="C83" s="33"/>
      <c r="D83" s="33"/>
      <c r="E83" s="33"/>
      <c r="F83" s="33"/>
      <c r="G83" s="2"/>
      <c r="H83" s="2"/>
      <c r="I83" s="34"/>
      <c r="J83" s="2"/>
      <c r="K83" s="2"/>
      <c r="L83" s="35"/>
      <c r="M83" s="2"/>
      <c r="N83" s="2"/>
      <c r="O83" s="2"/>
      <c r="P83" s="2"/>
      <c r="R83" s="7" t="str">
        <f t="shared" si="0"/>
        <v>20/21</v>
      </c>
      <c r="S83" s="2" t="str">
        <f aca="true" t="shared" si="6" ref="S83:S96">+S82</f>
        <v>2300</v>
      </c>
      <c r="V83" s="13">
        <f>M86</f>
        <v>22687</v>
      </c>
      <c r="Y83" s="2" t="s">
        <v>22</v>
      </c>
    </row>
    <row r="84" spans="1:25" ht="11.25" customHeight="1">
      <c r="A84" s="40"/>
      <c r="B84" s="305" t="s">
        <v>26</v>
      </c>
      <c r="C84" s="313" t="s">
        <v>27</v>
      </c>
      <c r="D84" s="313"/>
      <c r="E84" s="313" t="s">
        <v>28</v>
      </c>
      <c r="F84" s="313"/>
      <c r="G84" s="40"/>
      <c r="H84" s="313" t="s">
        <v>29</v>
      </c>
      <c r="I84" s="2"/>
      <c r="J84" s="309" t="s">
        <v>30</v>
      </c>
      <c r="K84" s="315"/>
      <c r="L84" s="315"/>
      <c r="M84" s="309" t="s">
        <v>31</v>
      </c>
      <c r="N84" s="42"/>
      <c r="O84" s="2"/>
      <c r="P84" s="309" t="s">
        <v>32</v>
      </c>
      <c r="R84" s="7" t="str">
        <f t="shared" si="0"/>
        <v>20/21</v>
      </c>
      <c r="S84" s="2" t="str">
        <f t="shared" si="6"/>
        <v>2300</v>
      </c>
      <c r="T84" s="43" t="s">
        <v>33</v>
      </c>
      <c r="U84" s="43"/>
      <c r="V84" s="43">
        <f>+B86</f>
        <v>25474</v>
      </c>
      <c r="W84" s="44">
        <f>+H92</f>
        <v>243.57800725648897</v>
      </c>
      <c r="X84" s="43">
        <f>B92+C92</f>
        <v>2149.8</v>
      </c>
      <c r="Y84" s="45" t="s">
        <v>34</v>
      </c>
    </row>
    <row r="85" spans="1:25" ht="12" customHeight="1">
      <c r="A85" s="40"/>
      <c r="B85" s="305"/>
      <c r="C85" s="46" t="s">
        <v>36</v>
      </c>
      <c r="D85" s="46" t="s">
        <v>37</v>
      </c>
      <c r="E85" s="46" t="s">
        <v>36</v>
      </c>
      <c r="F85" s="46" t="s">
        <v>37</v>
      </c>
      <c r="G85" s="40"/>
      <c r="H85" s="313"/>
      <c r="I85" s="2"/>
      <c r="J85" s="309"/>
      <c r="K85" s="315"/>
      <c r="L85" s="315"/>
      <c r="M85" s="315"/>
      <c r="N85" s="42"/>
      <c r="O85" s="2"/>
      <c r="P85" s="309"/>
      <c r="R85" s="7" t="str">
        <f t="shared" si="0"/>
        <v>20/21</v>
      </c>
      <c r="S85" s="2" t="str">
        <f t="shared" si="6"/>
        <v>2300</v>
      </c>
      <c r="T85" s="43" t="s">
        <v>38</v>
      </c>
      <c r="U85" s="43"/>
      <c r="V85" s="87"/>
      <c r="W85" s="44">
        <f>H93</f>
        <v>220.7203779031623</v>
      </c>
      <c r="X85" s="43">
        <f>B93+C93</f>
        <v>1524.2</v>
      </c>
      <c r="Y85" s="45" t="s">
        <v>39</v>
      </c>
    </row>
    <row r="86" spans="1:25" ht="16.5" customHeight="1">
      <c r="A86" s="305" t="s">
        <v>40</v>
      </c>
      <c r="B86" s="310">
        <f>SUM(Reb__Est__por_faixa_etária!O10)</f>
        <v>25474</v>
      </c>
      <c r="C86" s="48">
        <f>'Leite_-_Produção'!Y13</f>
        <v>0.04867708251550601</v>
      </c>
      <c r="D86" s="48">
        <f>100%-(C86+E86+F86)</f>
        <v>0.781322917484494</v>
      </c>
      <c r="E86" s="49"/>
      <c r="F86" s="49">
        <v>0.17</v>
      </c>
      <c r="G86" s="40" t="str">
        <f>IF(SUM(C87:F87)=0,"",IF(SUM(C86:F86)&lt;1,"&lt;100%",IF(SUM(C86:F86)&gt;1,"&gt;100%","OK")))</f>
        <v>OK</v>
      </c>
      <c r="H86" s="50">
        <f>Reb__Est__por_faixa_etária!B22</f>
        <v>8300</v>
      </c>
      <c r="I86" s="2"/>
      <c r="J86" s="51">
        <f>'Leite_-_Produção'!R13</f>
        <v>40073.664</v>
      </c>
      <c r="K86" s="52"/>
      <c r="L86" s="311"/>
      <c r="M86" s="53">
        <f>TRUNC(((C87+E87)*Bovinos_e_Comerc!$AD$8)+D87*Bovinos_e_Comerc!$AD$9,0)</f>
        <v>22687</v>
      </c>
      <c r="N86" s="54"/>
      <c r="O86" s="2"/>
      <c r="P86" s="55">
        <f>IF(OR(H86="",B86=""),"-",(D87+F87)/H86)</f>
        <v>2.9197590361445784</v>
      </c>
      <c r="R86" s="7" t="str">
        <f t="shared" si="0"/>
        <v>20/21</v>
      </c>
      <c r="S86" s="2" t="str">
        <f t="shared" si="6"/>
        <v>2300</v>
      </c>
      <c r="T86" s="56">
        <v>7590</v>
      </c>
      <c r="U86" s="56"/>
      <c r="V86" s="87"/>
      <c r="W86" s="57">
        <f>+G92</f>
        <v>0</v>
      </c>
      <c r="X86" s="43">
        <f>D92</f>
        <v>0</v>
      </c>
      <c r="Y86" s="58" t="s">
        <v>41</v>
      </c>
    </row>
    <row r="87" spans="1:25" ht="16.5" customHeight="1">
      <c r="A87" s="305"/>
      <c r="B87" s="310"/>
      <c r="C87" s="61">
        <f>+C86*B86</f>
        <v>1240</v>
      </c>
      <c r="D87" s="61">
        <f>+D86*B86</f>
        <v>19903.420000000002</v>
      </c>
      <c r="E87" s="61">
        <f>+E86*B86</f>
        <v>0</v>
      </c>
      <c r="F87" s="61">
        <f>+F86*B86</f>
        <v>4330.58</v>
      </c>
      <c r="G87" s="40"/>
      <c r="H87" s="40"/>
      <c r="I87" s="2"/>
      <c r="J87" s="40"/>
      <c r="K87" s="40"/>
      <c r="L87" s="311"/>
      <c r="M87" s="40"/>
      <c r="N87" s="40"/>
      <c r="O87" s="40"/>
      <c r="P87" s="40"/>
      <c r="R87" s="7" t="str">
        <f t="shared" si="0"/>
        <v>20/21</v>
      </c>
      <c r="S87" s="2" t="str">
        <f t="shared" si="6"/>
        <v>2300</v>
      </c>
      <c r="T87" s="43" t="s">
        <v>42</v>
      </c>
      <c r="U87" s="43"/>
      <c r="V87" s="87"/>
      <c r="W87" s="87"/>
      <c r="X87" s="43">
        <f>K92</f>
        <v>1496.5</v>
      </c>
      <c r="Y87" s="45" t="s">
        <v>43</v>
      </c>
    </row>
    <row r="88" spans="1:25" ht="4.5" customHeight="1">
      <c r="A88" s="88"/>
      <c r="B88" s="89"/>
      <c r="C88" s="90"/>
      <c r="D88" s="90"/>
      <c r="E88" s="90"/>
      <c r="F88" s="90"/>
      <c r="G88" s="90"/>
      <c r="H88" s="40"/>
      <c r="I88" s="34"/>
      <c r="J88" s="40"/>
      <c r="K88" s="40"/>
      <c r="L88" s="91"/>
      <c r="M88" s="40"/>
      <c r="N88" s="40"/>
      <c r="O88" s="40"/>
      <c r="P88" s="40"/>
      <c r="R88" s="7" t="str">
        <f t="shared" si="0"/>
        <v>20/21</v>
      </c>
      <c r="S88" s="2" t="str">
        <f t="shared" si="6"/>
        <v>2300</v>
      </c>
      <c r="T88" s="43" t="s">
        <v>44</v>
      </c>
      <c r="U88" s="43"/>
      <c r="V88" s="87"/>
      <c r="W88" s="87"/>
      <c r="X88" s="43">
        <f>K93</f>
        <v>794.2</v>
      </c>
      <c r="Y88" s="45" t="s">
        <v>45</v>
      </c>
    </row>
    <row r="89" spans="1:25" ht="16.5" customHeight="1">
      <c r="A89" s="307" t="s">
        <v>46</v>
      </c>
      <c r="B89" s="312" t="s">
        <v>47</v>
      </c>
      <c r="C89" s="312"/>
      <c r="D89" s="312"/>
      <c r="E89" s="312" t="s">
        <v>48</v>
      </c>
      <c r="F89" s="312"/>
      <c r="G89" s="312"/>
      <c r="H89" s="313" t="s">
        <v>49</v>
      </c>
      <c r="I89" s="2"/>
      <c r="J89" s="307" t="s">
        <v>46</v>
      </c>
      <c r="K89" s="312" t="s">
        <v>50</v>
      </c>
      <c r="L89" s="312"/>
      <c r="M89" s="312"/>
      <c r="N89" s="305" t="s">
        <v>51</v>
      </c>
      <c r="O89" s="305"/>
      <c r="P89" s="305"/>
      <c r="R89" s="7" t="str">
        <f t="shared" si="0"/>
        <v>20/21</v>
      </c>
      <c r="S89" s="2" t="str">
        <f t="shared" si="6"/>
        <v>2300</v>
      </c>
      <c r="T89" s="43" t="s">
        <v>52</v>
      </c>
      <c r="U89" s="43"/>
      <c r="V89" s="87"/>
      <c r="W89" s="87"/>
      <c r="X89" s="43">
        <f>L92</f>
        <v>1646.3999999999999</v>
      </c>
      <c r="Y89" s="45" t="s">
        <v>53</v>
      </c>
    </row>
    <row r="90" spans="1:25" ht="16.5" customHeight="1">
      <c r="A90" s="307"/>
      <c r="B90" s="306" t="s">
        <v>54</v>
      </c>
      <c r="C90" s="306" t="s">
        <v>55</v>
      </c>
      <c r="D90" s="306" t="s">
        <v>56</v>
      </c>
      <c r="E90" s="306" t="s">
        <v>54</v>
      </c>
      <c r="F90" s="306" t="s">
        <v>55</v>
      </c>
      <c r="G90" s="306" t="s">
        <v>56</v>
      </c>
      <c r="H90" s="313"/>
      <c r="I90" s="2"/>
      <c r="J90" s="307"/>
      <c r="K90" s="308" t="s">
        <v>57</v>
      </c>
      <c r="L90" s="308" t="s">
        <v>58</v>
      </c>
      <c r="M90" s="308" t="s">
        <v>59</v>
      </c>
      <c r="N90" s="305"/>
      <c r="O90" s="305"/>
      <c r="P90" s="305"/>
      <c r="R90" s="7" t="str">
        <f t="shared" si="0"/>
        <v>20/21</v>
      </c>
      <c r="S90" s="2" t="str">
        <f t="shared" si="6"/>
        <v>2300</v>
      </c>
      <c r="T90" s="43" t="s">
        <v>60</v>
      </c>
      <c r="U90" s="43"/>
      <c r="X90" s="43">
        <f>+L93</f>
        <v>3061.52</v>
      </c>
      <c r="Y90" s="45" t="s">
        <v>61</v>
      </c>
    </row>
    <row r="91" spans="1:25" ht="18" customHeight="1">
      <c r="A91" s="307"/>
      <c r="B91" s="307"/>
      <c r="C91" s="307"/>
      <c r="D91" s="307"/>
      <c r="E91" s="307"/>
      <c r="F91" s="307"/>
      <c r="G91" s="307"/>
      <c r="H91" s="307"/>
      <c r="I91" s="2"/>
      <c r="J91" s="307"/>
      <c r="K91" s="307"/>
      <c r="L91" s="307"/>
      <c r="M91" s="307"/>
      <c r="N91" s="75" t="s">
        <v>62</v>
      </c>
      <c r="O91" s="75" t="s">
        <v>63</v>
      </c>
      <c r="P91" s="75" t="s">
        <v>64</v>
      </c>
      <c r="R91" s="7" t="str">
        <f t="shared" si="0"/>
        <v>20/21</v>
      </c>
      <c r="S91" s="2" t="str">
        <f t="shared" si="6"/>
        <v>2300</v>
      </c>
      <c r="T91" s="43" t="s">
        <v>65</v>
      </c>
      <c r="U91" s="43"/>
      <c r="X91" s="43">
        <f>+M93</f>
        <v>461.99999999999994</v>
      </c>
      <c r="Y91" s="45" t="s">
        <v>66</v>
      </c>
    </row>
    <row r="92" spans="1:25" ht="16.5" customHeight="1">
      <c r="A92" s="75" t="s">
        <v>67</v>
      </c>
      <c r="B92" s="77">
        <f>SUM('GTA_NR_FB_relatório para Deral'!O75)</f>
        <v>973</v>
      </c>
      <c r="C92" s="77">
        <f>SUM('GTA_NR_FB_relatório para Deral'!P75)</f>
        <v>1176.8000000000002</v>
      </c>
      <c r="D92" s="77"/>
      <c r="E92" s="77">
        <v>260</v>
      </c>
      <c r="F92" s="77">
        <v>230</v>
      </c>
      <c r="G92" s="77"/>
      <c r="H92" s="78">
        <f>IF(B92="","",((E92*B92+F92*C92)/SUM(B92:C92)))</f>
        <v>243.57800725648897</v>
      </c>
      <c r="I92" s="2"/>
      <c r="J92" s="75" t="s">
        <v>67</v>
      </c>
      <c r="K92" s="77">
        <f>SUM('GTA_NR_FB_relatório para Deral'!O82)</f>
        <v>1496.5</v>
      </c>
      <c r="L92" s="77">
        <f>SUM('GTA_NR_FB_relatório para Deral'!P82)</f>
        <v>1646.3999999999999</v>
      </c>
      <c r="M92" s="77">
        <f>SUM('GTA_NR_FB_relatório para Deral'!Q82)</f>
        <v>10.4</v>
      </c>
      <c r="N92" s="77"/>
      <c r="O92" s="77"/>
      <c r="P92" s="77"/>
      <c r="R92" s="7" t="str">
        <f t="shared" si="0"/>
        <v>20/21</v>
      </c>
      <c r="S92" s="2" t="str">
        <f t="shared" si="6"/>
        <v>2300</v>
      </c>
      <c r="T92" s="56">
        <v>7006</v>
      </c>
      <c r="U92" s="56"/>
      <c r="X92" s="43">
        <f>N92</f>
        <v>0</v>
      </c>
      <c r="Y92" s="58" t="s">
        <v>68</v>
      </c>
    </row>
    <row r="93" spans="1:25" ht="16.5" customHeight="1">
      <c r="A93" s="75" t="s">
        <v>69</v>
      </c>
      <c r="B93" s="77">
        <f>SUM('GTA_NR_FB_relatório para Deral'!O76)</f>
        <v>817</v>
      </c>
      <c r="C93" s="77">
        <f>SUM('GTA_NR_FB_relatório para Deral'!P76)</f>
        <v>707.2</v>
      </c>
      <c r="D93" s="40"/>
      <c r="E93" s="77">
        <v>230</v>
      </c>
      <c r="F93" s="77">
        <v>210</v>
      </c>
      <c r="G93" s="79"/>
      <c r="H93" s="78">
        <f>IF(B93="","",((E93*B93+F93*C93)/SUM(B93:C93)))</f>
        <v>220.7203779031623</v>
      </c>
      <c r="I93" s="2"/>
      <c r="J93" s="75" t="s">
        <v>69</v>
      </c>
      <c r="K93" s="77">
        <f>SUM('GTA_NR_FB_relatório para Deral'!O83)</f>
        <v>794.2</v>
      </c>
      <c r="L93" s="77">
        <f>SUM('GTA_NR_FB_relatório para Deral'!P83)</f>
        <v>3061.52</v>
      </c>
      <c r="M93" s="80">
        <f>SUM('GTA_NR_FB_relatório para Deral'!Q83)</f>
        <v>461.99999999999994</v>
      </c>
      <c r="N93" s="81"/>
      <c r="O93" s="81"/>
      <c r="P93" s="81"/>
      <c r="R93" s="7" t="str">
        <f t="shared" si="0"/>
        <v>20/21</v>
      </c>
      <c r="S93" s="2" t="str">
        <f t="shared" si="6"/>
        <v>2300</v>
      </c>
      <c r="T93" s="56">
        <v>7007</v>
      </c>
      <c r="U93" s="56"/>
      <c r="X93" s="43">
        <f>O92</f>
        <v>0</v>
      </c>
      <c r="Y93" s="58" t="s">
        <v>70</v>
      </c>
    </row>
    <row r="94" spans="1:25" ht="18" customHeight="1">
      <c r="A94" s="41" t="s">
        <v>71</v>
      </c>
      <c r="B94" s="82">
        <f>IF(B86="","",(B93+B92)/B86)</f>
        <v>0.07026772395383528</v>
      </c>
      <c r="C94" s="82">
        <f>IF(B86="","",(C93+C92)/B86)</f>
        <v>0.0739577608542043</v>
      </c>
      <c r="D94" s="82">
        <f>IF(B86="","",(D93+D92)/B86)</f>
        <v>0</v>
      </c>
      <c r="E94" s="314">
        <f>IF(B86="","",IF(B94+C94+D94&gt;Bovinos_e_Comerc!$AD$5," -&gt; índices (somados) acima da média",IF(B94+C94+D94&lt;Bovinos_e_Comerc!$AD$4," -&gt; índices (somados) abaixo da média","")))</f>
      </c>
      <c r="F94" s="314"/>
      <c r="G94" s="314"/>
      <c r="H94" s="314"/>
      <c r="I94" s="2"/>
      <c r="J94" s="41" t="s">
        <v>71</v>
      </c>
      <c r="K94" s="83">
        <f>IF(B86="","-",(K93+K92)/B86)</f>
        <v>0.08992305880505613</v>
      </c>
      <c r="L94" s="83">
        <f>IF(B86="","-",(L93+L92)/B86)</f>
        <v>0.18481275025516214</v>
      </c>
      <c r="M94" s="83">
        <f>IF(B86="","-",(M93+M92+O92+N92+P92)/B86)</f>
        <v>0.01854439820993954</v>
      </c>
      <c r="N94" s="304">
        <f>IF(AND(K94="-",L94="-",M94="-"),"",IF(K94&gt;Bovinos_e_Comerc!$AA$5," -&gt; índice(s) fora da faixa média",IF(K94&lt;Bovinos_e_Comerc!$AA$4," -&gt; índice(s) fora da faixa média",IF(L94&gt;Bovinos_e_Comerc!$AB$5," -&gt; índice(s) fora da faixa média",IF(L94&lt;Bovinos_e_Comerc!$AB$4," -&gt; índice(s) fora da faixa média",IF(M94&gt;Bovinos_e_Comerc!$AC$5," -&gt; índice(s) fora da faixa média",IF(M94&lt;Bovinos_e_Comerc!$AC$4," -&gt; índice(s) fora da faixa média","")))))))</f>
      </c>
      <c r="O94" s="304"/>
      <c r="P94" s="304"/>
      <c r="R94" s="7" t="str">
        <f t="shared" si="0"/>
        <v>20/21</v>
      </c>
      <c r="S94" s="2" t="str">
        <f t="shared" si="6"/>
        <v>2300</v>
      </c>
      <c r="T94" s="56">
        <v>7008</v>
      </c>
      <c r="U94" s="56"/>
      <c r="X94" s="43">
        <f>P92</f>
        <v>0</v>
      </c>
      <c r="Y94" s="58" t="s">
        <v>72</v>
      </c>
    </row>
    <row r="95" spans="1:25" ht="7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R95" s="7" t="str">
        <f t="shared" si="0"/>
        <v>20/21</v>
      </c>
      <c r="S95" s="2" t="str">
        <f t="shared" si="6"/>
        <v>2300</v>
      </c>
      <c r="T95" s="43" t="s">
        <v>73</v>
      </c>
      <c r="U95" s="43"/>
      <c r="W95" s="18"/>
      <c r="X95" s="43">
        <f>+M92</f>
        <v>10.4</v>
      </c>
      <c r="Y95" s="45" t="s">
        <v>74</v>
      </c>
    </row>
    <row r="96" spans="1:25" ht="7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R96" s="7" t="str">
        <f t="shared" si="0"/>
        <v>20/21</v>
      </c>
      <c r="S96" s="2" t="str">
        <f t="shared" si="6"/>
        <v>2300</v>
      </c>
      <c r="T96" s="43" t="s">
        <v>75</v>
      </c>
      <c r="U96" s="43">
        <f>+H86</f>
        <v>8300</v>
      </c>
      <c r="W96" s="18"/>
      <c r="X96" s="43"/>
      <c r="Y96" s="45" t="s">
        <v>76</v>
      </c>
    </row>
    <row r="97" spans="1:32" s="28" customFormat="1" ht="16.5" customHeight="1">
      <c r="A97" s="20" t="s">
        <v>18</v>
      </c>
      <c r="B97" s="20" t="s">
        <v>87</v>
      </c>
      <c r="C97" s="21" t="s">
        <v>88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2"/>
      <c r="R97" s="23" t="str">
        <f t="shared" si="0"/>
        <v>20/21</v>
      </c>
      <c r="S97" s="24" t="str">
        <f>+B97</f>
        <v>2520</v>
      </c>
      <c r="T97" s="25">
        <v>7014</v>
      </c>
      <c r="U97" s="25"/>
      <c r="V97" s="26">
        <f>J101</f>
        <v>41636.77</v>
      </c>
      <c r="W97" s="26"/>
      <c r="X97" s="26"/>
      <c r="Y97" s="27" t="s">
        <v>21</v>
      </c>
      <c r="AA97" s="29"/>
      <c r="AB97" s="29"/>
      <c r="AC97" s="29"/>
      <c r="AD97" s="29"/>
      <c r="AE97" s="29"/>
      <c r="AF97" s="29"/>
    </row>
    <row r="98" spans="1:25" ht="6" customHeight="1">
      <c r="A98" s="31"/>
      <c r="B98" s="32"/>
      <c r="C98" s="33"/>
      <c r="D98" s="33"/>
      <c r="E98" s="33"/>
      <c r="F98" s="33"/>
      <c r="G98" s="2"/>
      <c r="H98" s="2"/>
      <c r="I98" s="34"/>
      <c r="J98" s="2"/>
      <c r="K98" s="2"/>
      <c r="L98" s="35"/>
      <c r="M98" s="2"/>
      <c r="N98" s="2"/>
      <c r="O98" s="2"/>
      <c r="P98" s="2"/>
      <c r="R98" s="7" t="str">
        <f t="shared" si="0"/>
        <v>20/21</v>
      </c>
      <c r="S98" s="2" t="str">
        <f aca="true" t="shared" si="7" ref="S98:S111">+S97</f>
        <v>2520</v>
      </c>
      <c r="V98" s="13">
        <f>M101</f>
        <v>25518</v>
      </c>
      <c r="Y98" s="2" t="s">
        <v>22</v>
      </c>
    </row>
    <row r="99" spans="1:25" ht="11.25" customHeight="1">
      <c r="A99" s="40"/>
      <c r="B99" s="305" t="s">
        <v>26</v>
      </c>
      <c r="C99" s="313" t="s">
        <v>27</v>
      </c>
      <c r="D99" s="313"/>
      <c r="E99" s="313" t="s">
        <v>28</v>
      </c>
      <c r="F99" s="313"/>
      <c r="G99" s="40"/>
      <c r="H99" s="313" t="s">
        <v>29</v>
      </c>
      <c r="I99" s="2"/>
      <c r="J99" s="309" t="s">
        <v>30</v>
      </c>
      <c r="K99" s="315"/>
      <c r="L99" s="315"/>
      <c r="M99" s="309" t="s">
        <v>31</v>
      </c>
      <c r="N99" s="42"/>
      <c r="O99" s="2"/>
      <c r="P99" s="309" t="s">
        <v>32</v>
      </c>
      <c r="R99" s="7" t="str">
        <f t="shared" si="0"/>
        <v>20/21</v>
      </c>
      <c r="S99" s="2" t="str">
        <f t="shared" si="7"/>
        <v>2520</v>
      </c>
      <c r="T99" s="43" t="s">
        <v>33</v>
      </c>
      <c r="U99" s="43"/>
      <c r="V99" s="43">
        <f>+B101</f>
        <v>37464</v>
      </c>
      <c r="W99" s="44">
        <f>+H107</f>
        <v>243.0801687763713</v>
      </c>
      <c r="X99" s="43">
        <f>B107+C107</f>
        <v>4266</v>
      </c>
      <c r="Y99" s="45" t="s">
        <v>34</v>
      </c>
    </row>
    <row r="100" spans="1:25" ht="12" customHeight="1">
      <c r="A100" s="40"/>
      <c r="B100" s="305"/>
      <c r="C100" s="46" t="s">
        <v>36</v>
      </c>
      <c r="D100" s="46" t="s">
        <v>37</v>
      </c>
      <c r="E100" s="46" t="s">
        <v>36</v>
      </c>
      <c r="F100" s="46" t="s">
        <v>37</v>
      </c>
      <c r="G100" s="40"/>
      <c r="H100" s="313"/>
      <c r="I100" s="2"/>
      <c r="J100" s="309"/>
      <c r="K100" s="315"/>
      <c r="L100" s="315"/>
      <c r="M100" s="315"/>
      <c r="N100" s="42"/>
      <c r="O100" s="2"/>
      <c r="P100" s="309"/>
      <c r="R100" s="7" t="str">
        <f t="shared" si="0"/>
        <v>20/21</v>
      </c>
      <c r="S100" s="2" t="str">
        <f t="shared" si="7"/>
        <v>2520</v>
      </c>
      <c r="T100" s="43" t="s">
        <v>38</v>
      </c>
      <c r="U100" s="43"/>
      <c r="V100" s="47"/>
      <c r="W100" s="44">
        <f>H108</f>
        <v>222.7575401488445</v>
      </c>
      <c r="X100" s="43">
        <f>B108+C108</f>
        <v>5106</v>
      </c>
      <c r="Y100" s="45" t="s">
        <v>39</v>
      </c>
    </row>
    <row r="101" spans="1:25" ht="16.5" customHeight="1">
      <c r="A101" s="305" t="s">
        <v>40</v>
      </c>
      <c r="B101" s="310">
        <f>SUM(Reb__Est__por_faixa_etária!O11)</f>
        <v>37464</v>
      </c>
      <c r="C101" s="48">
        <f>'Leite_-_Produção'!Y14</f>
        <v>0.01881806534272902</v>
      </c>
      <c r="D101" s="48">
        <f>100%-(C101+E101+F101)</f>
        <v>0.6311819346572709</v>
      </c>
      <c r="E101" s="49">
        <v>0.01</v>
      </c>
      <c r="F101" s="49">
        <v>0.34</v>
      </c>
      <c r="G101" s="40" t="str">
        <f>IF(SUM(C102:F102)=0,"",IF(SUM(C101:F101)&lt;1,"&lt;100%",IF(SUM(C101:F101)&gt;1,"&gt;100%","OK")))</f>
        <v>OK</v>
      </c>
      <c r="H101" s="50">
        <f>Reb__Est__por_faixa_etária!B23</f>
        <v>12395</v>
      </c>
      <c r="I101" s="2"/>
      <c r="J101" s="51">
        <f>'Leite_-_Produção'!R14</f>
        <v>41636.77</v>
      </c>
      <c r="K101" s="52"/>
      <c r="L101" s="311"/>
      <c r="M101" s="53">
        <f>TRUNC(((C102+E102)*Bovinos_e_Comerc!$AD$8)+D102*Bovinos_e_Comerc!$AD$9,0)</f>
        <v>25518</v>
      </c>
      <c r="N101" s="54"/>
      <c r="O101" s="2"/>
      <c r="P101" s="55">
        <f>IF(OR(H101="",B101=""),"-",(D102+F102)/H101)</f>
        <v>2.9354062121823317</v>
      </c>
      <c r="R101" s="7" t="str">
        <f t="shared" si="0"/>
        <v>20/21</v>
      </c>
      <c r="S101" s="2" t="str">
        <f t="shared" si="7"/>
        <v>2520</v>
      </c>
      <c r="T101" s="56">
        <v>7590</v>
      </c>
      <c r="U101" s="56"/>
      <c r="V101" s="47"/>
      <c r="W101" s="57">
        <f>+G107</f>
        <v>0</v>
      </c>
      <c r="X101" s="43">
        <f>D107</f>
        <v>0</v>
      </c>
      <c r="Y101" s="58" t="s">
        <v>41</v>
      </c>
    </row>
    <row r="102" spans="1:25" ht="16.5" customHeight="1">
      <c r="A102" s="305"/>
      <c r="B102" s="310"/>
      <c r="C102" s="61">
        <f>+C101*B101</f>
        <v>705</v>
      </c>
      <c r="D102" s="61">
        <f>+D101*B101</f>
        <v>23646.6</v>
      </c>
      <c r="E102" s="61">
        <f>+E101*B101</f>
        <v>374.64</v>
      </c>
      <c r="F102" s="61">
        <f>+F101*B101</f>
        <v>12737.76</v>
      </c>
      <c r="G102" s="40"/>
      <c r="H102" s="40"/>
      <c r="I102" s="2"/>
      <c r="J102" s="40"/>
      <c r="K102" s="40"/>
      <c r="L102" s="311"/>
      <c r="M102" s="40"/>
      <c r="N102" s="40"/>
      <c r="O102" s="40"/>
      <c r="P102" s="40"/>
      <c r="R102" s="7" t="str">
        <f t="shared" si="0"/>
        <v>20/21</v>
      </c>
      <c r="S102" s="2" t="str">
        <f t="shared" si="7"/>
        <v>2520</v>
      </c>
      <c r="T102" s="43" t="s">
        <v>42</v>
      </c>
      <c r="U102" s="43"/>
      <c r="V102" s="47"/>
      <c r="W102" s="47"/>
      <c r="X102" s="43">
        <f>K107</f>
        <v>2634</v>
      </c>
      <c r="Y102" s="45" t="s">
        <v>43</v>
      </c>
    </row>
    <row r="103" spans="1:25" ht="4.5" customHeight="1">
      <c r="A103" s="88"/>
      <c r="B103" s="89"/>
      <c r="C103" s="90"/>
      <c r="D103" s="90"/>
      <c r="E103" s="90"/>
      <c r="F103" s="90"/>
      <c r="G103" s="90"/>
      <c r="H103" s="40"/>
      <c r="I103" s="34"/>
      <c r="J103" s="40"/>
      <c r="K103" s="40"/>
      <c r="L103" s="91"/>
      <c r="M103" s="40"/>
      <c r="N103" s="40"/>
      <c r="O103" s="40"/>
      <c r="P103" s="40"/>
      <c r="R103" s="7" t="str">
        <f t="shared" si="0"/>
        <v>20/21</v>
      </c>
      <c r="S103" s="2" t="str">
        <f t="shared" si="7"/>
        <v>2520</v>
      </c>
      <c r="T103" s="43" t="s">
        <v>44</v>
      </c>
      <c r="U103" s="43"/>
      <c r="V103" s="47"/>
      <c r="W103" s="47"/>
      <c r="X103" s="43">
        <f>K108</f>
        <v>1997.7399999999998</v>
      </c>
      <c r="Y103" s="45" t="s">
        <v>45</v>
      </c>
    </row>
    <row r="104" spans="1:25" ht="16.5" customHeight="1">
      <c r="A104" s="307" t="s">
        <v>46</v>
      </c>
      <c r="B104" s="312" t="s">
        <v>47</v>
      </c>
      <c r="C104" s="312"/>
      <c r="D104" s="312"/>
      <c r="E104" s="312" t="s">
        <v>48</v>
      </c>
      <c r="F104" s="312"/>
      <c r="G104" s="312"/>
      <c r="H104" s="313" t="s">
        <v>49</v>
      </c>
      <c r="I104" s="2"/>
      <c r="J104" s="307" t="s">
        <v>46</v>
      </c>
      <c r="K104" s="312" t="s">
        <v>50</v>
      </c>
      <c r="L104" s="312"/>
      <c r="M104" s="312"/>
      <c r="N104" s="305" t="s">
        <v>51</v>
      </c>
      <c r="O104" s="305"/>
      <c r="P104" s="305"/>
      <c r="R104" s="7" t="str">
        <f t="shared" si="0"/>
        <v>20/21</v>
      </c>
      <c r="S104" s="2" t="str">
        <f t="shared" si="7"/>
        <v>2520</v>
      </c>
      <c r="T104" s="43" t="s">
        <v>52</v>
      </c>
      <c r="U104" s="43"/>
      <c r="V104" s="47"/>
      <c r="W104" s="47"/>
      <c r="X104" s="43">
        <f>L107</f>
        <v>3253.6000000000004</v>
      </c>
      <c r="Y104" s="45" t="s">
        <v>53</v>
      </c>
    </row>
    <row r="105" spans="1:25" ht="16.5" customHeight="1">
      <c r="A105" s="307"/>
      <c r="B105" s="306" t="s">
        <v>54</v>
      </c>
      <c r="C105" s="306" t="s">
        <v>55</v>
      </c>
      <c r="D105" s="306" t="s">
        <v>56</v>
      </c>
      <c r="E105" s="306" t="s">
        <v>54</v>
      </c>
      <c r="F105" s="306" t="s">
        <v>55</v>
      </c>
      <c r="G105" s="306" t="s">
        <v>56</v>
      </c>
      <c r="H105" s="313"/>
      <c r="I105" s="2"/>
      <c r="J105" s="307"/>
      <c r="K105" s="308" t="s">
        <v>57</v>
      </c>
      <c r="L105" s="308" t="s">
        <v>58</v>
      </c>
      <c r="M105" s="308" t="s">
        <v>59</v>
      </c>
      <c r="N105" s="305"/>
      <c r="O105" s="305"/>
      <c r="P105" s="305"/>
      <c r="R105" s="7" t="str">
        <f t="shared" si="0"/>
        <v>20/21</v>
      </c>
      <c r="S105" s="2" t="str">
        <f t="shared" si="7"/>
        <v>2520</v>
      </c>
      <c r="T105" s="43" t="s">
        <v>60</v>
      </c>
      <c r="U105" s="43"/>
      <c r="X105" s="43">
        <f>+L108</f>
        <v>5796</v>
      </c>
      <c r="Y105" s="45" t="s">
        <v>61</v>
      </c>
    </row>
    <row r="106" spans="1:25" ht="18" customHeight="1">
      <c r="A106" s="307"/>
      <c r="B106" s="307"/>
      <c r="C106" s="307"/>
      <c r="D106" s="307"/>
      <c r="E106" s="307"/>
      <c r="F106" s="307"/>
      <c r="G106" s="307"/>
      <c r="H106" s="307"/>
      <c r="I106" s="2"/>
      <c r="J106" s="307"/>
      <c r="K106" s="307"/>
      <c r="L106" s="307"/>
      <c r="M106" s="307"/>
      <c r="N106" s="75" t="s">
        <v>62</v>
      </c>
      <c r="O106" s="75" t="s">
        <v>63</v>
      </c>
      <c r="P106" s="75" t="s">
        <v>64</v>
      </c>
      <c r="R106" s="7" t="str">
        <f t="shared" si="0"/>
        <v>20/21</v>
      </c>
      <c r="S106" s="2" t="str">
        <f t="shared" si="7"/>
        <v>2520</v>
      </c>
      <c r="T106" s="43" t="s">
        <v>65</v>
      </c>
      <c r="U106" s="43"/>
      <c r="X106" s="43">
        <f>+M108</f>
        <v>547.4</v>
      </c>
      <c r="Y106" s="45" t="s">
        <v>66</v>
      </c>
    </row>
    <row r="107" spans="1:25" ht="16.5" customHeight="1">
      <c r="A107" s="75" t="s">
        <v>67</v>
      </c>
      <c r="B107" s="77">
        <f>SUM('GTA_NR_FB_relatório para Deral'!O89)</f>
        <v>1860</v>
      </c>
      <c r="C107" s="76">
        <f>SUM('GTA_NR_FB_relatório para Deral'!P89)</f>
        <v>2406</v>
      </c>
      <c r="D107" s="77"/>
      <c r="E107" s="77">
        <v>260</v>
      </c>
      <c r="F107" s="77">
        <v>230</v>
      </c>
      <c r="G107" s="77"/>
      <c r="H107" s="78">
        <f>IF(B107="","",((E107*B107+F107*C107)/SUM(B107:C107)))</f>
        <v>243.0801687763713</v>
      </c>
      <c r="I107" s="2"/>
      <c r="J107" s="75" t="s">
        <v>67</v>
      </c>
      <c r="K107" s="77">
        <f>SUM('GTA_NR_FB_relatório para Deral'!O96)</f>
        <v>2634</v>
      </c>
      <c r="L107" s="77">
        <f>SUM('GTA_NR_FB_relatório para Deral'!P96)</f>
        <v>3253.6000000000004</v>
      </c>
      <c r="M107" s="77">
        <f>SUM('GTA_NR_FB_relatório para Deral'!Q96)</f>
        <v>109</v>
      </c>
      <c r="N107" s="77"/>
      <c r="O107" s="77"/>
      <c r="P107" s="77"/>
      <c r="R107" s="7" t="str">
        <f t="shared" si="0"/>
        <v>20/21</v>
      </c>
      <c r="S107" s="2" t="str">
        <f t="shared" si="7"/>
        <v>2520</v>
      </c>
      <c r="T107" s="56">
        <v>7006</v>
      </c>
      <c r="U107" s="56"/>
      <c r="X107" s="43">
        <f>N107</f>
        <v>0</v>
      </c>
      <c r="Y107" s="58" t="s">
        <v>68</v>
      </c>
    </row>
    <row r="108" spans="1:25" ht="16.5" customHeight="1">
      <c r="A108" s="75" t="s">
        <v>69</v>
      </c>
      <c r="B108" s="77">
        <f>SUM('GTA_NR_FB_relatório para Deral'!O90)</f>
        <v>3257</v>
      </c>
      <c r="C108" s="76">
        <f>SUM('GTA_NR_FB_relatório para Deral'!P90)</f>
        <v>1849</v>
      </c>
      <c r="D108" s="40"/>
      <c r="E108" s="77">
        <v>230</v>
      </c>
      <c r="F108" s="77">
        <v>210</v>
      </c>
      <c r="G108" s="79"/>
      <c r="H108" s="78">
        <f>IF(B108="","",((E108*B108+F108*C108)/SUM(B108:C108)))</f>
        <v>222.7575401488445</v>
      </c>
      <c r="I108" s="2"/>
      <c r="J108" s="75" t="s">
        <v>69</v>
      </c>
      <c r="K108" s="77">
        <f>SUM('GTA_NR_FB_relatório para Deral'!O97)</f>
        <v>1997.7399999999998</v>
      </c>
      <c r="L108" s="77">
        <f>SUM('GTA_NR_FB_relatório para Deral'!P97)</f>
        <v>5796</v>
      </c>
      <c r="M108" s="80">
        <f>SUM('GTA_NR_FB_relatório para Deral'!Q97)</f>
        <v>547.4</v>
      </c>
      <c r="N108" s="81"/>
      <c r="O108" s="81"/>
      <c r="P108" s="81"/>
      <c r="R108" s="7" t="str">
        <f t="shared" si="0"/>
        <v>20/21</v>
      </c>
      <c r="S108" s="2" t="str">
        <f t="shared" si="7"/>
        <v>2520</v>
      </c>
      <c r="T108" s="56">
        <v>7007</v>
      </c>
      <c r="U108" s="56"/>
      <c r="X108" s="43">
        <f>O107</f>
        <v>0</v>
      </c>
      <c r="Y108" s="58" t="s">
        <v>70</v>
      </c>
    </row>
    <row r="109" spans="1:25" ht="18" customHeight="1">
      <c r="A109" s="41" t="s">
        <v>71</v>
      </c>
      <c r="B109" s="82">
        <f>IF(B101="","",(B108+B107)/B101)</f>
        <v>0.1365844544095665</v>
      </c>
      <c r="C109" s="82">
        <f>IF(B101="","",(C108+C107)/B101)</f>
        <v>0.11357569933803117</v>
      </c>
      <c r="D109" s="82">
        <f>IF(B101="","",(D108+D107)/B101)</f>
        <v>0</v>
      </c>
      <c r="E109" s="303">
        <f>IF(B101="","",IF(B109+C109+D109&gt;Bovinos_e_Comerc!$AD$5," -&gt; índices (somados) acima da média",IF(B109+C109+D109&lt;Bovinos_e_Comerc!$AD$4," -&gt; índices (somados) abaixo da média","")))</f>
      </c>
      <c r="F109" s="303"/>
      <c r="G109" s="303"/>
      <c r="H109" s="303"/>
      <c r="I109" s="2"/>
      <c r="J109" s="41" t="s">
        <v>71</v>
      </c>
      <c r="K109" s="83">
        <f>IF(B101="","-",(K108+K107)/B101)</f>
        <v>0.12363175314969037</v>
      </c>
      <c r="L109" s="83">
        <f>IF(B101="","-",(L108+L107)/B101)</f>
        <v>0.2415545590433483</v>
      </c>
      <c r="M109" s="83">
        <f>IF(B101="","-",(M108+M107+O107+N107+P107)/B101)</f>
        <v>0.0175208199871877</v>
      </c>
      <c r="N109" s="304" t="str">
        <f>IF(AND(K109="-",L109="-",M109="-"),"",IF(K109&gt;Bovinos_e_Comerc!$AA$5," -&gt; índice(s) fora da faixa média",IF(K109&lt;Bovinos_e_Comerc!$AA$4," -&gt; índice(s) fora da faixa média",IF(L109&gt;Bovinos_e_Comerc!$AB$5," -&gt; índice(s) fora da faixa média",IF(L109&lt;Bovinos_e_Comerc!$AB$4," -&gt; índice(s) fora da faixa média",IF(M109&gt;Bovinos_e_Comerc!$AC$5," -&gt; índice(s) fora da faixa média",IF(M109&lt;Bovinos_e_Comerc!$AC$4," -&gt; índice(s) fora da faixa média","")))))))</f>
        <v> -&gt; índice(s) fora da faixa média</v>
      </c>
      <c r="O109" s="304"/>
      <c r="P109" s="304"/>
      <c r="R109" s="7" t="str">
        <f t="shared" si="0"/>
        <v>20/21</v>
      </c>
      <c r="S109" s="2" t="str">
        <f t="shared" si="7"/>
        <v>2520</v>
      </c>
      <c r="T109" s="56">
        <v>7008</v>
      </c>
      <c r="U109" s="56"/>
      <c r="X109" s="43">
        <f>P107</f>
        <v>0</v>
      </c>
      <c r="Y109" s="58" t="s">
        <v>72</v>
      </c>
    </row>
    <row r="110" spans="1:25" ht="7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R110" s="7" t="str">
        <f t="shared" si="0"/>
        <v>20/21</v>
      </c>
      <c r="S110" s="2" t="str">
        <f t="shared" si="7"/>
        <v>2520</v>
      </c>
      <c r="T110" s="43" t="s">
        <v>73</v>
      </c>
      <c r="U110" s="43"/>
      <c r="X110" s="43">
        <f>+M107</f>
        <v>109</v>
      </c>
      <c r="Y110" s="45" t="s">
        <v>74</v>
      </c>
    </row>
    <row r="111" spans="1:25" ht="7.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R111" s="7" t="str">
        <f t="shared" si="0"/>
        <v>20/21</v>
      </c>
      <c r="S111" s="2" t="str">
        <f t="shared" si="7"/>
        <v>2520</v>
      </c>
      <c r="T111" s="43" t="s">
        <v>75</v>
      </c>
      <c r="U111" s="43">
        <f>+H101</f>
        <v>12395</v>
      </c>
      <c r="X111" s="43"/>
      <c r="Y111" s="45" t="s">
        <v>76</v>
      </c>
    </row>
    <row r="112" spans="1:34" s="101" customFormat="1" ht="24.75" customHeight="1">
      <c r="A112" s="94"/>
      <c r="B112" s="95" t="s">
        <v>89</v>
      </c>
      <c r="C112" s="95" t="s">
        <v>90</v>
      </c>
      <c r="D112" s="94"/>
      <c r="E112" s="94"/>
      <c r="F112" s="94"/>
      <c r="G112" s="94"/>
      <c r="H112" s="96" t="s">
        <v>91</v>
      </c>
      <c r="I112" s="94"/>
      <c r="J112" s="97" t="s">
        <v>92</v>
      </c>
      <c r="K112" s="94"/>
      <c r="L112" s="94"/>
      <c r="M112" s="94"/>
      <c r="N112" s="94"/>
      <c r="O112" s="94"/>
      <c r="P112" s="94"/>
      <c r="Q112" s="94"/>
      <c r="R112" s="98"/>
      <c r="S112" s="94"/>
      <c r="T112" s="99"/>
      <c r="U112" s="99"/>
      <c r="V112" s="94"/>
      <c r="W112" s="94"/>
      <c r="X112" s="99"/>
      <c r="Y112" s="100"/>
      <c r="Z112" s="94"/>
      <c r="AA112" s="94"/>
      <c r="AB112" s="94"/>
      <c r="AC112" s="94"/>
      <c r="AD112" s="94"/>
      <c r="AE112" s="94"/>
      <c r="AF112" s="94"/>
      <c r="AG112" s="94"/>
      <c r="AH112" s="94"/>
    </row>
    <row r="113" spans="2:10" ht="16.5" customHeight="1">
      <c r="B113" s="102">
        <f>SUM(B11,B26,B41,B56,B71,B86,B101)</f>
        <v>177658</v>
      </c>
      <c r="C113" s="102">
        <f>SUM(C12,C27,C42,C57,C72,C87,C102)</f>
        <v>6297</v>
      </c>
      <c r="H113" s="103">
        <f>SUM(H11,H26,H41,H56,H71,H86,H101)</f>
        <v>62419</v>
      </c>
      <c r="I113" s="104"/>
      <c r="J113" s="105">
        <f>SUM(J11,J26,J41,J56,J71,J86,J101)</f>
        <v>232131.254</v>
      </c>
    </row>
    <row r="114" spans="1:10" ht="16.5" customHeight="1">
      <c r="A114" s="104"/>
      <c r="B114" s="106">
        <f>SUM(Reb__Est__por_faixa_etária!O12)</f>
        <v>177658</v>
      </c>
      <c r="C114" s="106">
        <f>SUM('Leite_-_Produção'!X15)</f>
        <v>6297</v>
      </c>
      <c r="H114" s="104"/>
      <c r="I114" s="104"/>
      <c r="J114" s="107">
        <f>SUM('Leite_-_Produção'!R15)</f>
        <v>232131.254</v>
      </c>
    </row>
  </sheetData>
  <sheetProtection/>
  <mergeCells count="210">
    <mergeCell ref="J9:J10"/>
    <mergeCell ref="K9:K10"/>
    <mergeCell ref="L9:L10"/>
    <mergeCell ref="M9:M10"/>
    <mergeCell ref="P9:P10"/>
    <mergeCell ref="A11:A12"/>
    <mergeCell ref="B11:B12"/>
    <mergeCell ref="L11:L12"/>
    <mergeCell ref="B9:B10"/>
    <mergeCell ref="C9:D9"/>
    <mergeCell ref="E9:F9"/>
    <mergeCell ref="H9:H10"/>
    <mergeCell ref="L15:L16"/>
    <mergeCell ref="M15:M16"/>
    <mergeCell ref="A14:A16"/>
    <mergeCell ref="B14:D14"/>
    <mergeCell ref="E14:G14"/>
    <mergeCell ref="H14:H16"/>
    <mergeCell ref="J14:J16"/>
    <mergeCell ref="K14:M14"/>
    <mergeCell ref="L24:L25"/>
    <mergeCell ref="M24:M25"/>
    <mergeCell ref="N14:P15"/>
    <mergeCell ref="B15:B16"/>
    <mergeCell ref="C15:C16"/>
    <mergeCell ref="D15:D16"/>
    <mergeCell ref="E15:E16"/>
    <mergeCell ref="F15:F16"/>
    <mergeCell ref="G15:G16"/>
    <mergeCell ref="K15:K16"/>
    <mergeCell ref="J29:J31"/>
    <mergeCell ref="K29:M29"/>
    <mergeCell ref="E19:H19"/>
    <mergeCell ref="N19:P19"/>
    <mergeCell ref="B24:B25"/>
    <mergeCell ref="C24:D24"/>
    <mergeCell ref="E24:F24"/>
    <mergeCell ref="H24:H25"/>
    <mergeCell ref="J24:J25"/>
    <mergeCell ref="K24:K25"/>
    <mergeCell ref="L30:L31"/>
    <mergeCell ref="M30:M31"/>
    <mergeCell ref="P24:P25"/>
    <mergeCell ref="A26:A27"/>
    <mergeCell ref="B26:B27"/>
    <mergeCell ref="L26:L27"/>
    <mergeCell ref="A29:A31"/>
    <mergeCell ref="B29:D29"/>
    <mergeCell ref="E29:G29"/>
    <mergeCell ref="H29:H31"/>
    <mergeCell ref="L39:L40"/>
    <mergeCell ref="M39:M40"/>
    <mergeCell ref="N29:P30"/>
    <mergeCell ref="B30:B31"/>
    <mergeCell ref="C30:C31"/>
    <mergeCell ref="D30:D31"/>
    <mergeCell ref="E30:E31"/>
    <mergeCell ref="F30:F31"/>
    <mergeCell ref="G30:G31"/>
    <mergeCell ref="K30:K31"/>
    <mergeCell ref="J44:J46"/>
    <mergeCell ref="K44:M44"/>
    <mergeCell ref="E34:H34"/>
    <mergeCell ref="N34:P34"/>
    <mergeCell ref="B39:B40"/>
    <mergeCell ref="C39:D39"/>
    <mergeCell ref="E39:F39"/>
    <mergeCell ref="H39:H40"/>
    <mergeCell ref="J39:J40"/>
    <mergeCell ref="K39:K40"/>
    <mergeCell ref="L45:L46"/>
    <mergeCell ref="M45:M46"/>
    <mergeCell ref="P39:P40"/>
    <mergeCell ref="A41:A42"/>
    <mergeCell ref="B41:B42"/>
    <mergeCell ref="L41:L42"/>
    <mergeCell ref="A44:A46"/>
    <mergeCell ref="B44:D44"/>
    <mergeCell ref="E44:G44"/>
    <mergeCell ref="H44:H46"/>
    <mergeCell ref="L54:L55"/>
    <mergeCell ref="M54:M55"/>
    <mergeCell ref="N44:P45"/>
    <mergeCell ref="B45:B46"/>
    <mergeCell ref="C45:C46"/>
    <mergeCell ref="D45:D46"/>
    <mergeCell ref="E45:E46"/>
    <mergeCell ref="F45:F46"/>
    <mergeCell ref="G45:G46"/>
    <mergeCell ref="K45:K46"/>
    <mergeCell ref="J59:J61"/>
    <mergeCell ref="K59:M59"/>
    <mergeCell ref="E49:H49"/>
    <mergeCell ref="N49:P49"/>
    <mergeCell ref="B54:B55"/>
    <mergeCell ref="C54:D54"/>
    <mergeCell ref="E54:F54"/>
    <mergeCell ref="H54:H55"/>
    <mergeCell ref="J54:J55"/>
    <mergeCell ref="K54:K55"/>
    <mergeCell ref="L60:L61"/>
    <mergeCell ref="M60:M61"/>
    <mergeCell ref="P54:P55"/>
    <mergeCell ref="A56:A57"/>
    <mergeCell ref="B56:B57"/>
    <mergeCell ref="L56:L57"/>
    <mergeCell ref="A59:A61"/>
    <mergeCell ref="B59:D59"/>
    <mergeCell ref="E59:G59"/>
    <mergeCell ref="H59:H61"/>
    <mergeCell ref="L69:L70"/>
    <mergeCell ref="M69:M70"/>
    <mergeCell ref="N59:P60"/>
    <mergeCell ref="B60:B61"/>
    <mergeCell ref="C60:C61"/>
    <mergeCell ref="D60:D61"/>
    <mergeCell ref="E60:E61"/>
    <mergeCell ref="F60:F61"/>
    <mergeCell ref="G60:G61"/>
    <mergeCell ref="K60:K61"/>
    <mergeCell ref="J74:J76"/>
    <mergeCell ref="K74:M74"/>
    <mergeCell ref="E64:H64"/>
    <mergeCell ref="N64:P64"/>
    <mergeCell ref="B69:B70"/>
    <mergeCell ref="C69:D69"/>
    <mergeCell ref="E69:F69"/>
    <mergeCell ref="H69:H70"/>
    <mergeCell ref="J69:J70"/>
    <mergeCell ref="K69:K70"/>
    <mergeCell ref="L75:L76"/>
    <mergeCell ref="M75:M76"/>
    <mergeCell ref="P69:P70"/>
    <mergeCell ref="A71:A72"/>
    <mergeCell ref="B71:B72"/>
    <mergeCell ref="L71:L72"/>
    <mergeCell ref="A74:A76"/>
    <mergeCell ref="B74:D74"/>
    <mergeCell ref="E74:G74"/>
    <mergeCell ref="H74:H76"/>
    <mergeCell ref="L84:L85"/>
    <mergeCell ref="M84:M85"/>
    <mergeCell ref="N74:P75"/>
    <mergeCell ref="B75:B76"/>
    <mergeCell ref="C75:C76"/>
    <mergeCell ref="D75:D76"/>
    <mergeCell ref="E75:E76"/>
    <mergeCell ref="F75:F76"/>
    <mergeCell ref="G75:G76"/>
    <mergeCell ref="K75:K76"/>
    <mergeCell ref="J89:J91"/>
    <mergeCell ref="K89:M89"/>
    <mergeCell ref="E79:H79"/>
    <mergeCell ref="N79:P79"/>
    <mergeCell ref="B84:B85"/>
    <mergeCell ref="C84:D84"/>
    <mergeCell ref="E84:F84"/>
    <mergeCell ref="H84:H85"/>
    <mergeCell ref="J84:J85"/>
    <mergeCell ref="K84:K85"/>
    <mergeCell ref="L90:L91"/>
    <mergeCell ref="M90:M91"/>
    <mergeCell ref="P84:P85"/>
    <mergeCell ref="A86:A87"/>
    <mergeCell ref="B86:B87"/>
    <mergeCell ref="L86:L87"/>
    <mergeCell ref="A89:A91"/>
    <mergeCell ref="B89:D89"/>
    <mergeCell ref="E89:G89"/>
    <mergeCell ref="H89:H91"/>
    <mergeCell ref="L99:L100"/>
    <mergeCell ref="M99:M100"/>
    <mergeCell ref="N89:P90"/>
    <mergeCell ref="B90:B91"/>
    <mergeCell ref="C90:C91"/>
    <mergeCell ref="D90:D91"/>
    <mergeCell ref="E90:E91"/>
    <mergeCell ref="F90:F91"/>
    <mergeCell ref="G90:G91"/>
    <mergeCell ref="K90:K91"/>
    <mergeCell ref="J104:J106"/>
    <mergeCell ref="K104:M104"/>
    <mergeCell ref="E94:H94"/>
    <mergeCell ref="N94:P94"/>
    <mergeCell ref="B99:B100"/>
    <mergeCell ref="C99:D99"/>
    <mergeCell ref="E99:F99"/>
    <mergeCell ref="H99:H100"/>
    <mergeCell ref="J99:J100"/>
    <mergeCell ref="K99:K100"/>
    <mergeCell ref="L105:L106"/>
    <mergeCell ref="M105:M106"/>
    <mergeCell ref="P99:P100"/>
    <mergeCell ref="A101:A102"/>
    <mergeCell ref="B101:B102"/>
    <mergeCell ref="L101:L102"/>
    <mergeCell ref="A104:A106"/>
    <mergeCell ref="B104:D104"/>
    <mergeCell ref="E104:G104"/>
    <mergeCell ref="H104:H106"/>
    <mergeCell ref="E109:H109"/>
    <mergeCell ref="N109:P109"/>
    <mergeCell ref="N104:P105"/>
    <mergeCell ref="B105:B106"/>
    <mergeCell ref="C105:C106"/>
    <mergeCell ref="D105:D106"/>
    <mergeCell ref="E105:E106"/>
    <mergeCell ref="F105:F106"/>
    <mergeCell ref="G105:G106"/>
    <mergeCell ref="K105:K106"/>
  </mergeCells>
  <conditionalFormatting sqref="B19">
    <cfRule type="expression" priority="1" dxfId="53" stopIfTrue="1">
      <formula>OR(B19&lt;$AD$4,B19&gt;$AD$5)</formula>
    </cfRule>
  </conditionalFormatting>
  <conditionalFormatting sqref="B34">
    <cfRule type="expression" priority="2" dxfId="53" stopIfTrue="1">
      <formula>OR(B34&lt;$AD$4,B34&gt;$AD$5)</formula>
    </cfRule>
  </conditionalFormatting>
  <conditionalFormatting sqref="B49">
    <cfRule type="expression" priority="3" dxfId="53" stopIfTrue="1">
      <formula>OR(B49&lt;$AD$4,B49&gt;$AD$5)</formula>
    </cfRule>
  </conditionalFormatting>
  <conditionalFormatting sqref="B64">
    <cfRule type="expression" priority="4" dxfId="53" stopIfTrue="1">
      <formula>OR(B64&lt;$AD$4,B64&gt;$AD$5)</formula>
    </cfRule>
  </conditionalFormatting>
  <conditionalFormatting sqref="B79">
    <cfRule type="expression" priority="5" dxfId="53" stopIfTrue="1">
      <formula>OR(B79&lt;$AD$4,B79&gt;$AD$5)</formula>
    </cfRule>
  </conditionalFormatting>
  <conditionalFormatting sqref="B94">
    <cfRule type="expression" priority="6" dxfId="53" stopIfTrue="1">
      <formula>OR(B94&lt;$AD$4,B94&gt;$AD$5)</formula>
    </cfRule>
  </conditionalFormatting>
  <conditionalFormatting sqref="B109">
    <cfRule type="expression" priority="7" dxfId="53" stopIfTrue="1">
      <formula>OR(B109&lt;$AD$4,B109&gt;$AD$5)</formula>
    </cfRule>
  </conditionalFormatting>
  <conditionalFormatting sqref="E17:E18 F18">
    <cfRule type="expression" priority="8" dxfId="54" stopIfTrue="1">
      <formula>NA()</formula>
    </cfRule>
  </conditionalFormatting>
  <conditionalFormatting sqref="G17">
    <cfRule type="expression" priority="9" dxfId="54" stopIfTrue="1">
      <formula>NA()</formula>
    </cfRule>
  </conditionalFormatting>
  <conditionalFormatting sqref="E32:E33 F33">
    <cfRule type="expression" priority="10" dxfId="54" stopIfTrue="1">
      <formula>NA()</formula>
    </cfRule>
  </conditionalFormatting>
  <conditionalFormatting sqref="G32">
    <cfRule type="expression" priority="11" dxfId="54" stopIfTrue="1">
      <formula>NA()</formula>
    </cfRule>
  </conditionalFormatting>
  <conditionalFormatting sqref="E47:E48 F48">
    <cfRule type="expression" priority="12" dxfId="54" stopIfTrue="1">
      <formula>NA()</formula>
    </cfRule>
  </conditionalFormatting>
  <conditionalFormatting sqref="G47">
    <cfRule type="expression" priority="13" dxfId="54" stopIfTrue="1">
      <formula>NA()</formula>
    </cfRule>
  </conditionalFormatting>
  <conditionalFormatting sqref="E62:E63 F63">
    <cfRule type="expression" priority="14" dxfId="54" stopIfTrue="1">
      <formula>NA()</formula>
    </cfRule>
  </conditionalFormatting>
  <conditionalFormatting sqref="G62">
    <cfRule type="expression" priority="15" dxfId="54" stopIfTrue="1">
      <formula>NA()</formula>
    </cfRule>
  </conditionalFormatting>
  <conditionalFormatting sqref="E77:E78 F78">
    <cfRule type="expression" priority="16" dxfId="54" stopIfTrue="1">
      <formula>NA()</formula>
    </cfRule>
  </conditionalFormatting>
  <conditionalFormatting sqref="G77">
    <cfRule type="expression" priority="17" dxfId="54" stopIfTrue="1">
      <formula>NA()</formula>
    </cfRule>
  </conditionalFormatting>
  <conditionalFormatting sqref="E92:E93 F93">
    <cfRule type="expression" priority="18" dxfId="54" stopIfTrue="1">
      <formula>NA()</formula>
    </cfRule>
  </conditionalFormatting>
  <conditionalFormatting sqref="G92">
    <cfRule type="expression" priority="19" dxfId="54" stopIfTrue="1">
      <formula>NA()</formula>
    </cfRule>
  </conditionalFormatting>
  <conditionalFormatting sqref="E107:E108 F108">
    <cfRule type="expression" priority="20" dxfId="54" stopIfTrue="1">
      <formula>NA()</formula>
    </cfRule>
  </conditionalFormatting>
  <conditionalFormatting sqref="G107">
    <cfRule type="expression" priority="21" dxfId="54" stopIfTrue="1">
      <formula>NA()</formula>
    </cfRule>
  </conditionalFormatting>
  <conditionalFormatting sqref="G11 G26 G41 G56 G71 G86 G101">
    <cfRule type="cellIs" priority="22" dxfId="55" operator="equal" stopIfTrue="1">
      <formula>"&gt;100%"</formula>
    </cfRule>
    <cfRule type="cellIs" priority="23" dxfId="55" operator="equal" stopIfTrue="1">
      <formula>"&lt;100%"</formula>
    </cfRule>
    <cfRule type="cellIs" priority="24" dxfId="56" operator="equal" stopIfTrue="1">
      <formula>"OK"</formula>
    </cfRule>
  </conditionalFormatting>
  <conditionalFormatting sqref="K19">
    <cfRule type="expression" priority="25" dxfId="53" stopIfTrue="1">
      <formula>OR(K19&lt;$AA$4,K19&gt;$AA$5)</formula>
    </cfRule>
    <cfRule type="expression" priority="26" dxfId="53" stopIfTrue="1">
      <formula>"ou(K19&lt;$AA$4;k19&gt;$AA$5)"</formula>
    </cfRule>
  </conditionalFormatting>
  <conditionalFormatting sqref="K34">
    <cfRule type="expression" priority="27" dxfId="53" stopIfTrue="1">
      <formula>OR(K34&lt;$AA$4,K34&gt;$AA$5)</formula>
    </cfRule>
    <cfRule type="expression" priority="28" dxfId="53" stopIfTrue="1">
      <formula>"ou(K19&lt;$AA$4;k19&gt;$AA$5)"</formula>
    </cfRule>
  </conditionalFormatting>
  <conditionalFormatting sqref="K49">
    <cfRule type="expression" priority="29" dxfId="53" stopIfTrue="1">
      <formula>OR(K49&lt;$AA$4,K49&gt;$AA$5)</formula>
    </cfRule>
    <cfRule type="expression" priority="30" dxfId="53" stopIfTrue="1">
      <formula>"ou(K19&lt;$AA$4;k19&gt;$AA$5)"</formula>
    </cfRule>
  </conditionalFormatting>
  <conditionalFormatting sqref="K64">
    <cfRule type="expression" priority="31" dxfId="53" stopIfTrue="1">
      <formula>OR(K64&lt;$AA$4,K64&gt;$AA$5)</formula>
    </cfRule>
    <cfRule type="expression" priority="32" dxfId="53" stopIfTrue="1">
      <formula>"ou(K19&lt;$AA$4;k19&gt;$AA$5)"</formula>
    </cfRule>
  </conditionalFormatting>
  <conditionalFormatting sqref="K79">
    <cfRule type="expression" priority="33" dxfId="53" stopIfTrue="1">
      <formula>OR(K79&lt;$AA$4,K79&gt;$AA$5)</formula>
    </cfRule>
    <cfRule type="expression" priority="34" dxfId="53" stopIfTrue="1">
      <formula>"ou(K19&lt;$AA$4;k19&gt;$AA$5)"</formula>
    </cfRule>
  </conditionalFormatting>
  <conditionalFormatting sqref="K94">
    <cfRule type="expression" priority="35" dxfId="53" stopIfTrue="1">
      <formula>OR(K94&lt;$AA$4,K94&gt;$AA$5)</formula>
    </cfRule>
    <cfRule type="expression" priority="36" dxfId="53" stopIfTrue="1">
      <formula>"ou(K19&lt;$AA$4;k19&gt;$AA$5)"</formula>
    </cfRule>
  </conditionalFormatting>
  <conditionalFormatting sqref="K109">
    <cfRule type="expression" priority="37" dxfId="53" stopIfTrue="1">
      <formula>OR(K109&lt;$AA$4,K109&gt;$AA$5)</formula>
    </cfRule>
    <cfRule type="expression" priority="38" dxfId="53" stopIfTrue="1">
      <formula>"ou(K19&lt;$AA$4;k19&gt;$AA$5)"</formula>
    </cfRule>
  </conditionalFormatting>
  <conditionalFormatting sqref="L19">
    <cfRule type="expression" priority="39" dxfId="53" stopIfTrue="1">
      <formula>OR(L19&lt;$AB$4,L19&gt;$AB$5)</formula>
    </cfRule>
  </conditionalFormatting>
  <conditionalFormatting sqref="L34">
    <cfRule type="expression" priority="40" dxfId="53" stopIfTrue="1">
      <formula>OR(L34&lt;$AB$4,L34&gt;$AB$5)</formula>
    </cfRule>
  </conditionalFormatting>
  <conditionalFormatting sqref="L49">
    <cfRule type="expression" priority="41" dxfId="53" stopIfTrue="1">
      <formula>OR(L49&lt;$AB$4,L49&gt;$AB$5)</formula>
    </cfRule>
  </conditionalFormatting>
  <conditionalFormatting sqref="L64">
    <cfRule type="expression" priority="42" dxfId="53" stopIfTrue="1">
      <formula>OR(L64&lt;$AB$4,L64&gt;$AB$5)</formula>
    </cfRule>
  </conditionalFormatting>
  <conditionalFormatting sqref="L79">
    <cfRule type="expression" priority="43" dxfId="53" stopIfTrue="1">
      <formula>OR(L79&lt;$AB$4,L79&gt;$AB$5)</formula>
    </cfRule>
  </conditionalFormatting>
  <conditionalFormatting sqref="L94">
    <cfRule type="expression" priority="44" dxfId="53" stopIfTrue="1">
      <formula>OR(L94&lt;$AB$4,L94&gt;$AB$5)</formula>
    </cfRule>
  </conditionalFormatting>
  <conditionalFormatting sqref="L109">
    <cfRule type="expression" priority="45" dxfId="53" stopIfTrue="1">
      <formula>OR(L109&lt;$AB$4,L109&gt;$AB$5)</formula>
    </cfRule>
  </conditionalFormatting>
  <conditionalFormatting sqref="M19">
    <cfRule type="expression" priority="46" dxfId="53" stopIfTrue="1">
      <formula>OR(M19&lt;$AC$4,M19&gt;$AC$5)</formula>
    </cfRule>
  </conditionalFormatting>
  <conditionalFormatting sqref="M34">
    <cfRule type="expression" priority="47" dxfId="53" stopIfTrue="1">
      <formula>OR(M34&lt;$AC$4,M34&gt;$AC$5)</formula>
    </cfRule>
  </conditionalFormatting>
  <conditionalFormatting sqref="M49">
    <cfRule type="expression" priority="48" dxfId="53" stopIfTrue="1">
      <formula>OR(M49&lt;$AC$4,M49&gt;$AC$5)</formula>
    </cfRule>
  </conditionalFormatting>
  <conditionalFormatting sqref="M64">
    <cfRule type="expression" priority="49" dxfId="53" stopIfTrue="1">
      <formula>OR(M64&lt;$AC$4,M64&gt;$AC$5)</formula>
    </cfRule>
  </conditionalFormatting>
  <conditionalFormatting sqref="M79">
    <cfRule type="expression" priority="50" dxfId="53" stopIfTrue="1">
      <formula>OR(M79&lt;$AC$4,M79&gt;$AC$5)</formula>
    </cfRule>
  </conditionalFormatting>
  <conditionalFormatting sqref="M94">
    <cfRule type="expression" priority="51" dxfId="53" stopIfTrue="1">
      <formula>OR(M94&lt;$AC$4,M94&gt;$AC$5)</formula>
    </cfRule>
  </conditionalFormatting>
  <conditionalFormatting sqref="M109">
    <cfRule type="expression" priority="52" dxfId="53" stopIfTrue="1">
      <formula>OR(M109&lt;$AC$4,M109&gt;$AC$5)</formula>
    </cfRule>
  </conditionalFormatting>
  <conditionalFormatting sqref="P11 P26 P41 P56 P71 P86 P101">
    <cfRule type="expression" priority="53" dxfId="53" stopIfTrue="1">
      <formula>OR(P11&gt;$AE$4,P11&lt;$AE$5)</formula>
    </cfRule>
  </conditionalFormatting>
  <printOptions/>
  <pageMargins left="0.19652777777777777" right="0.19652777777777777" top="0.9840277777777777" bottom="0.6506944444444445" header="0.5118055555555555" footer="0.5118055555555555"/>
  <pageSetup horizontalDpi="300" verticalDpi="300" orientation="landscape" pageOrder="overThenDown" paperSize="77" scale="85"/>
  <headerFooter alignWithMargins="0">
    <oddFooter>&amp;C&amp;"Arial,Normal"&amp;10Página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15"/>
  <sheetViews>
    <sheetView showGridLines="0" zoomScalePageLayoutView="0" workbookViewId="0" topLeftCell="A1">
      <selection activeCell="A5" sqref="A5"/>
    </sheetView>
  </sheetViews>
  <sheetFormatPr defaultColWidth="8" defaultRowHeight="23.25"/>
  <cols>
    <col min="1" max="1" width="26.1484375" style="1" customWidth="1"/>
    <col min="2" max="2" width="8.4609375" style="1" customWidth="1"/>
    <col min="3" max="3" width="9.83984375" style="1" customWidth="1"/>
    <col min="4" max="7" width="9.83984375" style="1" hidden="1" customWidth="1"/>
    <col min="8" max="8" width="8.1484375" style="1" customWidth="1"/>
    <col min="9" max="9" width="8.83984375" style="1" customWidth="1"/>
    <col min="10" max="10" width="9.30859375" style="1" customWidth="1"/>
    <col min="11" max="11" width="10.83984375" style="1" customWidth="1"/>
    <col min="12" max="13" width="6.4609375" style="1" customWidth="1"/>
    <col min="14" max="14" width="7.69140625" style="1" customWidth="1"/>
    <col min="15" max="17" width="7.4609375" style="1" customWidth="1"/>
    <col min="18" max="18" width="15.69140625" style="1" customWidth="1"/>
    <col min="19" max="22" width="7.69140625" style="2" customWidth="1"/>
    <col min="23" max="23" width="1.83984375" style="108" customWidth="1"/>
    <col min="24" max="25" width="8.1484375" style="2" hidden="1" customWidth="1"/>
    <col min="26" max="27" width="12.1484375" style="1" hidden="1" customWidth="1"/>
    <col min="28" max="16384" width="8" style="1" customWidth="1"/>
  </cols>
  <sheetData>
    <row r="1" spans="1:27" ht="12" customHeight="1">
      <c r="A1" s="109" t="s">
        <v>0</v>
      </c>
      <c r="B1" s="39"/>
      <c r="C1" s="2"/>
      <c r="D1" s="2"/>
      <c r="E1" s="2"/>
      <c r="F1" s="2"/>
      <c r="G1" s="2"/>
      <c r="H1" s="2"/>
      <c r="I1" s="2"/>
      <c r="J1" s="110"/>
      <c r="K1" s="111"/>
      <c r="L1" s="111"/>
      <c r="M1" s="112"/>
      <c r="N1" s="2"/>
      <c r="O1" s="2"/>
      <c r="P1" s="113"/>
      <c r="Q1" s="113"/>
      <c r="R1" s="111"/>
      <c r="Z1"/>
      <c r="AA1"/>
    </row>
    <row r="2" spans="1:27" ht="12" customHeight="1">
      <c r="A2" s="109" t="s">
        <v>2</v>
      </c>
      <c r="B2" s="39"/>
      <c r="C2" s="2"/>
      <c r="D2" s="2"/>
      <c r="E2" s="2"/>
      <c r="F2" s="2"/>
      <c r="G2" s="2"/>
      <c r="H2" s="2"/>
      <c r="I2" s="2"/>
      <c r="J2" s="110"/>
      <c r="K2" s="111"/>
      <c r="L2" s="111"/>
      <c r="M2" s="112"/>
      <c r="N2" s="2"/>
      <c r="O2" s="2"/>
      <c r="P2" s="2"/>
      <c r="Q2" s="2"/>
      <c r="R2" s="111"/>
      <c r="X2" s="323" t="s">
        <v>93</v>
      </c>
      <c r="Y2" s="323"/>
      <c r="Z2" s="323"/>
      <c r="AA2" s="323"/>
    </row>
    <row r="3" spans="1:27" ht="12" customHeight="1">
      <c r="A3" s="109" t="s">
        <v>3</v>
      </c>
      <c r="B3" s="39"/>
      <c r="C3" s="2"/>
      <c r="D3" s="2"/>
      <c r="E3" s="2"/>
      <c r="F3" s="2"/>
      <c r="G3" s="2"/>
      <c r="H3" s="2"/>
      <c r="I3" s="2"/>
      <c r="J3" s="110"/>
      <c r="K3" s="111"/>
      <c r="L3" s="111"/>
      <c r="M3" s="112"/>
      <c r="N3" s="2"/>
      <c r="O3" s="2"/>
      <c r="P3" s="2"/>
      <c r="Q3" s="2"/>
      <c r="R3" s="111"/>
      <c r="Z3"/>
      <c r="AA3"/>
    </row>
    <row r="4" spans="1:27" ht="16.5" customHeight="1">
      <c r="A4" s="114" t="s">
        <v>281</v>
      </c>
      <c r="B4" s="114"/>
      <c r="C4" s="115"/>
      <c r="D4" s="115"/>
      <c r="E4" s="115"/>
      <c r="F4" s="115"/>
      <c r="G4" s="115"/>
      <c r="H4" s="115"/>
      <c r="I4" s="115"/>
      <c r="J4" s="110"/>
      <c r="K4" s="116"/>
      <c r="L4" s="116"/>
      <c r="M4" s="117"/>
      <c r="N4" s="115"/>
      <c r="O4" s="115"/>
      <c r="P4" s="115"/>
      <c r="Q4" s="115"/>
      <c r="R4" s="116"/>
      <c r="Z4" s="324" t="s">
        <v>94</v>
      </c>
      <c r="AA4" s="324"/>
    </row>
    <row r="5" spans="1:27" ht="12" customHeight="1">
      <c r="A5" s="2"/>
      <c r="B5" s="2"/>
      <c r="C5" s="2"/>
      <c r="D5" s="2"/>
      <c r="E5" s="2"/>
      <c r="F5" s="2"/>
      <c r="G5" s="2"/>
      <c r="H5" s="2"/>
      <c r="I5" s="2"/>
      <c r="J5" s="110"/>
      <c r="K5" s="111"/>
      <c r="L5" s="111"/>
      <c r="M5" s="112"/>
      <c r="N5" s="2"/>
      <c r="O5" s="2"/>
      <c r="P5" s="2"/>
      <c r="Q5" s="2"/>
      <c r="R5" s="111"/>
      <c r="X5"/>
      <c r="Y5" s="118"/>
      <c r="Z5" s="324"/>
      <c r="AA5" s="324"/>
    </row>
    <row r="6" spans="1:27" ht="14.25" customHeight="1">
      <c r="A6" s="119"/>
      <c r="B6" s="316" t="s">
        <v>95</v>
      </c>
      <c r="C6" s="316"/>
      <c r="D6" s="316"/>
      <c r="E6" s="316"/>
      <c r="F6" s="316"/>
      <c r="G6" s="316"/>
      <c r="H6" s="316"/>
      <c r="I6" s="317" t="s">
        <v>96</v>
      </c>
      <c r="J6" s="318" t="s">
        <v>97</v>
      </c>
      <c r="K6" s="318"/>
      <c r="L6" s="316" t="s">
        <v>98</v>
      </c>
      <c r="M6" s="316"/>
      <c r="N6" s="316"/>
      <c r="O6" s="316"/>
      <c r="P6" s="319" t="s">
        <v>99</v>
      </c>
      <c r="Q6" s="319"/>
      <c r="R6" s="320" t="s">
        <v>100</v>
      </c>
      <c r="S6" s="316" t="s">
        <v>101</v>
      </c>
      <c r="T6" s="316"/>
      <c r="U6" s="316"/>
      <c r="V6" s="316"/>
      <c r="W6" s="123"/>
      <c r="X6" s="321" t="s">
        <v>102</v>
      </c>
      <c r="Y6" s="321"/>
      <c r="Z6" s="318" t="s">
        <v>97</v>
      </c>
      <c r="AA6" s="318"/>
    </row>
    <row r="7" spans="1:27" ht="33.75" customHeight="1">
      <c r="A7" s="124" t="s">
        <v>103</v>
      </c>
      <c r="B7" s="120" t="s">
        <v>104</v>
      </c>
      <c r="C7" s="120" t="s">
        <v>105</v>
      </c>
      <c r="D7" s="120" t="s">
        <v>275</v>
      </c>
      <c r="E7" s="120" t="s">
        <v>276</v>
      </c>
      <c r="F7" s="120" t="s">
        <v>277</v>
      </c>
      <c r="G7" s="120" t="s">
        <v>278</v>
      </c>
      <c r="H7" s="120" t="s">
        <v>106</v>
      </c>
      <c r="I7" s="317"/>
      <c r="J7" s="122" t="s">
        <v>107</v>
      </c>
      <c r="K7" s="121" t="s">
        <v>108</v>
      </c>
      <c r="L7" s="125" t="s">
        <v>109</v>
      </c>
      <c r="M7" s="125" t="s">
        <v>110</v>
      </c>
      <c r="N7" s="125" t="s">
        <v>111</v>
      </c>
      <c r="O7" s="125" t="s">
        <v>112</v>
      </c>
      <c r="P7" s="125" t="s">
        <v>113</v>
      </c>
      <c r="Q7" s="125" t="s">
        <v>114</v>
      </c>
      <c r="R7" s="320"/>
      <c r="S7" s="126" t="s">
        <v>115</v>
      </c>
      <c r="T7" s="126" t="s">
        <v>116</v>
      </c>
      <c r="U7" s="126" t="s">
        <v>111</v>
      </c>
      <c r="V7" s="126" t="s">
        <v>112</v>
      </c>
      <c r="W7" s="127"/>
      <c r="X7" s="322" t="s">
        <v>117</v>
      </c>
      <c r="Y7" s="322"/>
      <c r="Z7" s="122" t="s">
        <v>107</v>
      </c>
      <c r="AA7" s="121" t="s">
        <v>108</v>
      </c>
    </row>
    <row r="8" spans="1:28" s="144" customFormat="1" ht="21" customHeight="1">
      <c r="A8" s="128" t="s">
        <v>118</v>
      </c>
      <c r="B8" s="129">
        <f>Bovinos_e_Comerc!B11</f>
        <v>13472</v>
      </c>
      <c r="C8" s="130">
        <f>Bovinos_e_Comerc!C12+Bovinos_e_Comerc!D12</f>
        <v>9565.119999999999</v>
      </c>
      <c r="D8" s="130">
        <f>Bovinos_e_Comerc!C12</f>
        <v>735</v>
      </c>
      <c r="E8" s="130">
        <f>Bovinos_e_Comerc!D12</f>
        <v>8830.119999999999</v>
      </c>
      <c r="F8" s="130">
        <f>Bovinos_e_Comerc!E12</f>
        <v>0</v>
      </c>
      <c r="G8" s="130">
        <f>Bovinos_e_Comerc!F12</f>
        <v>3906.8799999999997</v>
      </c>
      <c r="H8" s="131">
        <f aca="true" t="shared" si="0" ref="H8:H15">C8/B8</f>
        <v>0.71</v>
      </c>
      <c r="I8" s="132">
        <f>SUM(Reb__Est__por_faixa_etária!L5+Reb__Est__por_faixa_etária!N5)</f>
        <v>6227</v>
      </c>
      <c r="J8" s="131">
        <v>0.6073550666452545</v>
      </c>
      <c r="K8" s="133">
        <f aca="true" t="shared" si="1" ref="K8:K14">(I8*J8)</f>
        <v>3782</v>
      </c>
      <c r="L8" s="134">
        <f aca="true" t="shared" si="2" ref="L8:L15">X8/K8</f>
        <v>0.1943416181914331</v>
      </c>
      <c r="M8" s="134">
        <f aca="true" t="shared" si="3" ref="M8:M15">SUM(100%)-(L8+N8+O8)</f>
        <v>0.30565838180856686</v>
      </c>
      <c r="N8" s="135">
        <v>0.25</v>
      </c>
      <c r="O8" s="135">
        <v>0.25</v>
      </c>
      <c r="P8" s="136">
        <f aca="true" t="shared" si="4" ref="P8:P15">R8/K8*1000</f>
        <v>4283.0248545743</v>
      </c>
      <c r="Q8" s="137">
        <f aca="true" t="shared" si="5" ref="Q8:Q15">R8/K8/305*1000</f>
        <v>14.04270444122721</v>
      </c>
      <c r="R8" s="138">
        <f aca="true" t="shared" si="6" ref="R8:R14">ROUND((K8*L8*S8)+(K8*M8*T8)+(K8*N8*U8)+(K8*O8*V8),0)/1000</f>
        <v>16198.4</v>
      </c>
      <c r="S8" s="136">
        <v>7600</v>
      </c>
      <c r="T8" s="136">
        <v>4600</v>
      </c>
      <c r="U8" s="136">
        <v>3600</v>
      </c>
      <c r="V8" s="136">
        <v>2000</v>
      </c>
      <c r="W8" s="139"/>
      <c r="X8" s="140">
        <v>735</v>
      </c>
      <c r="Y8" s="141">
        <f aca="true" t="shared" si="7" ref="Y8:Y15">X8/B8</f>
        <v>0.054557600950118766</v>
      </c>
      <c r="Z8" s="142">
        <f aca="true" t="shared" si="8" ref="Z8:Z15">AA8/I8</f>
        <v>0.6073550666452545</v>
      </c>
      <c r="AA8" s="143">
        <v>3782</v>
      </c>
      <c r="AB8" s="144">
        <f>K8/C8</f>
        <v>0.3953949349302466</v>
      </c>
    </row>
    <row r="9" spans="1:28" s="149" customFormat="1" ht="21" customHeight="1">
      <c r="A9" s="145" t="s">
        <v>119</v>
      </c>
      <c r="B9" s="129">
        <f>Bovinos_e_Comerc!B26</f>
        <v>12532</v>
      </c>
      <c r="C9" s="130">
        <f>Bovinos_e_Comerc!C27+Bovinos_e_Comerc!D27</f>
        <v>5514.08</v>
      </c>
      <c r="D9" s="130">
        <f>Bovinos_e_Comerc!C27</f>
        <v>198</v>
      </c>
      <c r="E9" s="130">
        <f>Bovinos_e_Comerc!D27</f>
        <v>5316.08</v>
      </c>
      <c r="F9" s="130">
        <f>Bovinos_e_Comerc!E27</f>
        <v>1315.86</v>
      </c>
      <c r="G9" s="130">
        <f>Bovinos_e_Comerc!F27</f>
        <v>5702.06</v>
      </c>
      <c r="H9" s="131">
        <f t="shared" si="0"/>
        <v>0.44</v>
      </c>
      <c r="I9" s="132">
        <f>SUM(Reb__Est__por_faixa_etária!L6+Reb__Est__por_faixa_etária!N6)</f>
        <v>6319</v>
      </c>
      <c r="J9" s="146">
        <v>0.31365722424434245</v>
      </c>
      <c r="K9" s="133">
        <f t="shared" si="1"/>
        <v>1982</v>
      </c>
      <c r="L9" s="134">
        <f t="shared" si="2"/>
        <v>0.09989909182643794</v>
      </c>
      <c r="M9" s="134">
        <f t="shared" si="3"/>
        <v>0.40010090817356214</v>
      </c>
      <c r="N9" s="134">
        <v>0.3</v>
      </c>
      <c r="O9" s="134">
        <v>0.19999999999999996</v>
      </c>
      <c r="P9" s="136">
        <f t="shared" si="4"/>
        <v>4079.6972754793137</v>
      </c>
      <c r="Q9" s="137">
        <f t="shared" si="5"/>
        <v>13.376056640915781</v>
      </c>
      <c r="R9" s="138">
        <f t="shared" si="6"/>
        <v>8085.96</v>
      </c>
      <c r="S9" s="136">
        <v>7600</v>
      </c>
      <c r="T9" s="136">
        <v>4600</v>
      </c>
      <c r="U9" s="136">
        <v>3600</v>
      </c>
      <c r="V9" s="136">
        <v>2000</v>
      </c>
      <c r="W9" s="147"/>
      <c r="X9" s="140">
        <v>198</v>
      </c>
      <c r="Y9" s="141">
        <f t="shared" si="7"/>
        <v>0.015799553143951484</v>
      </c>
      <c r="Z9" s="142">
        <f t="shared" si="8"/>
        <v>0.31365722424434245</v>
      </c>
      <c r="AA9" s="148">
        <v>1982</v>
      </c>
      <c r="AB9" s="144">
        <f aca="true" t="shared" si="9" ref="AB9:AB14">K9/C9</f>
        <v>0.3594434611032121</v>
      </c>
    </row>
    <row r="10" spans="1:28" s="149" customFormat="1" ht="21" customHeight="1">
      <c r="A10" s="145" t="s">
        <v>120</v>
      </c>
      <c r="B10" s="129">
        <f>Bovinos_e_Comerc!B41</f>
        <v>31332</v>
      </c>
      <c r="C10" s="130">
        <f>Bovinos_e_Comerc!C42+Bovinos_e_Comerc!D42</f>
        <v>24438.96</v>
      </c>
      <c r="D10" s="130">
        <f>Bovinos_e_Comerc!C42</f>
        <v>2055</v>
      </c>
      <c r="E10" s="130">
        <f>Bovinos_e_Comerc!D42</f>
        <v>22383.96</v>
      </c>
      <c r="F10" s="130">
        <f>Bovinos_e_Comerc!E42</f>
        <v>0</v>
      </c>
      <c r="G10" s="130">
        <f>Bovinos_e_Comerc!F42</f>
        <v>6893.04</v>
      </c>
      <c r="H10" s="131">
        <f t="shared" si="0"/>
        <v>0.78</v>
      </c>
      <c r="I10" s="132">
        <f>SUM(Reb__Est__por_faixa_etária!L7+Reb__Est__por_faixa_etária!N7)</f>
        <v>17829</v>
      </c>
      <c r="J10" s="146">
        <v>0.6750238375680072</v>
      </c>
      <c r="K10" s="133">
        <f t="shared" si="1"/>
        <v>12035</v>
      </c>
      <c r="L10" s="134">
        <f t="shared" si="2"/>
        <v>0.1707519734108849</v>
      </c>
      <c r="M10" s="134">
        <f t="shared" si="3"/>
        <v>0.38924802658911517</v>
      </c>
      <c r="N10" s="134">
        <v>0.25</v>
      </c>
      <c r="O10" s="134">
        <v>0.18999999999999995</v>
      </c>
      <c r="P10" s="136">
        <f t="shared" si="4"/>
        <v>4368.255920232655</v>
      </c>
      <c r="Q10" s="137">
        <f t="shared" si="5"/>
        <v>14.322150558139853</v>
      </c>
      <c r="R10" s="138">
        <f t="shared" si="6"/>
        <v>52571.96</v>
      </c>
      <c r="S10" s="136">
        <v>7600</v>
      </c>
      <c r="T10" s="136">
        <v>4600</v>
      </c>
      <c r="U10" s="136">
        <v>3600</v>
      </c>
      <c r="V10" s="136">
        <v>2000</v>
      </c>
      <c r="W10" s="147"/>
      <c r="X10" s="140">
        <v>2055</v>
      </c>
      <c r="Y10" s="141">
        <f t="shared" si="7"/>
        <v>0.06558789735733435</v>
      </c>
      <c r="Z10" s="142">
        <f t="shared" si="8"/>
        <v>0.6750238375680072</v>
      </c>
      <c r="AA10" s="148">
        <v>12035</v>
      </c>
      <c r="AB10" s="144">
        <f t="shared" si="9"/>
        <v>0.49245139727713455</v>
      </c>
    </row>
    <row r="11" spans="1:28" s="149" customFormat="1" ht="21" customHeight="1">
      <c r="A11" s="145" t="s">
        <v>121</v>
      </c>
      <c r="B11" s="129">
        <f>Bovinos_e_Comerc!B56</f>
        <v>30120</v>
      </c>
      <c r="C11" s="130">
        <f>Bovinos_e_Comerc!C57+Bovinos_e_Comerc!D57</f>
        <v>21987.6</v>
      </c>
      <c r="D11" s="130">
        <f>Bovinos_e_Comerc!C57</f>
        <v>1169</v>
      </c>
      <c r="E11" s="130">
        <f>Bovinos_e_Comerc!D57</f>
        <v>20818.6</v>
      </c>
      <c r="F11" s="130">
        <f>Bovinos_e_Comerc!E57</f>
        <v>0</v>
      </c>
      <c r="G11" s="130">
        <f>Bovinos_e_Comerc!F57</f>
        <v>8132.400000000001</v>
      </c>
      <c r="H11" s="131">
        <f t="shared" si="0"/>
        <v>0.73</v>
      </c>
      <c r="I11" s="132">
        <f>SUM(Reb__Est__por_faixa_etária!L8+Reb__Est__por_faixa_etária!N8)</f>
        <v>16729</v>
      </c>
      <c r="J11" s="146">
        <v>0.5690118955107897</v>
      </c>
      <c r="K11" s="133">
        <f t="shared" si="1"/>
        <v>9519</v>
      </c>
      <c r="L11" s="134">
        <f t="shared" si="2"/>
        <v>0.12280701754385964</v>
      </c>
      <c r="M11" s="134">
        <f t="shared" si="3"/>
        <v>0.42719298245614035</v>
      </c>
      <c r="N11" s="134">
        <v>0.2</v>
      </c>
      <c r="O11" s="134">
        <v>0.25</v>
      </c>
      <c r="P11" s="136">
        <f t="shared" si="4"/>
        <v>4118.421052631579</v>
      </c>
      <c r="Q11" s="137">
        <f t="shared" si="5"/>
        <v>13.5030198446937</v>
      </c>
      <c r="R11" s="138">
        <f t="shared" si="6"/>
        <v>39203.25</v>
      </c>
      <c r="S11" s="136">
        <v>7600</v>
      </c>
      <c r="T11" s="136">
        <v>4600</v>
      </c>
      <c r="U11" s="136">
        <v>3600</v>
      </c>
      <c r="V11" s="136">
        <v>2000</v>
      </c>
      <c r="W11" s="147"/>
      <c r="X11" s="140">
        <v>1169</v>
      </c>
      <c r="Y11" s="141">
        <f t="shared" si="7"/>
        <v>0.038811420982735725</v>
      </c>
      <c r="Z11" s="142">
        <f t="shared" si="8"/>
        <v>0.5690118955107897</v>
      </c>
      <c r="AA11" s="148">
        <v>9519</v>
      </c>
      <c r="AB11" s="144">
        <f t="shared" si="9"/>
        <v>0.43292583092288384</v>
      </c>
    </row>
    <row r="12" spans="1:28" s="149" customFormat="1" ht="21" customHeight="1">
      <c r="A12" s="145" t="s">
        <v>122</v>
      </c>
      <c r="B12" s="129">
        <f>Bovinos_e_Comerc!B71</f>
        <v>27264</v>
      </c>
      <c r="C12" s="130">
        <f>Bovinos_e_Comerc!C72+Bovinos_e_Comerc!D72</f>
        <v>18539.52</v>
      </c>
      <c r="D12" s="130">
        <f>Bovinos_e_Comerc!C72</f>
        <v>195</v>
      </c>
      <c r="E12" s="130">
        <f>Bovinos_e_Comerc!D72</f>
        <v>18344.52</v>
      </c>
      <c r="F12" s="130">
        <f>Bovinos_e_Comerc!E72</f>
        <v>0</v>
      </c>
      <c r="G12" s="130">
        <f>Bovinos_e_Comerc!F72</f>
        <v>8724.48</v>
      </c>
      <c r="H12" s="131">
        <f t="shared" si="0"/>
        <v>0.68</v>
      </c>
      <c r="I12" s="132">
        <f>SUM(Reb__Est__por_faixa_etária!L9+Reb__Est__por_faixa_etária!N9)</f>
        <v>13319</v>
      </c>
      <c r="J12" s="146">
        <v>0.6762519708686838</v>
      </c>
      <c r="K12" s="133">
        <f t="shared" si="1"/>
        <v>9007</v>
      </c>
      <c r="L12" s="134">
        <f t="shared" si="2"/>
        <v>0.021649827911624293</v>
      </c>
      <c r="M12" s="134">
        <f t="shared" si="3"/>
        <v>0.5283501720883756</v>
      </c>
      <c r="N12" s="134">
        <v>0.2</v>
      </c>
      <c r="O12" s="134">
        <v>0.25</v>
      </c>
      <c r="P12" s="136">
        <f t="shared" si="4"/>
        <v>3814.949483734873</v>
      </c>
      <c r="Q12" s="137">
        <f t="shared" si="5"/>
        <v>12.508031094212697</v>
      </c>
      <c r="R12" s="138">
        <f t="shared" si="6"/>
        <v>34361.25</v>
      </c>
      <c r="S12" s="136">
        <v>7600</v>
      </c>
      <c r="T12" s="136">
        <v>4600</v>
      </c>
      <c r="U12" s="136">
        <v>3600</v>
      </c>
      <c r="V12" s="136">
        <v>2000</v>
      </c>
      <c r="W12" s="147"/>
      <c r="X12" s="140">
        <v>195</v>
      </c>
      <c r="Y12" s="141">
        <f t="shared" si="7"/>
        <v>0.007152288732394366</v>
      </c>
      <c r="Z12" s="142">
        <f t="shared" si="8"/>
        <v>0.6762519708686838</v>
      </c>
      <c r="AA12" s="148">
        <v>9007</v>
      </c>
      <c r="AB12" s="144">
        <f t="shared" si="9"/>
        <v>0.48582703327809995</v>
      </c>
    </row>
    <row r="13" spans="1:28" s="149" customFormat="1" ht="21" customHeight="1">
      <c r="A13" s="145" t="s">
        <v>123</v>
      </c>
      <c r="B13" s="129">
        <f>Bovinos_e_Comerc!B86</f>
        <v>25474</v>
      </c>
      <c r="C13" s="130">
        <f>Bovinos_e_Comerc!C87+Bovinos_e_Comerc!D87</f>
        <v>21143.420000000002</v>
      </c>
      <c r="D13" s="130">
        <f>Bovinos_e_Comerc!C87</f>
        <v>1240</v>
      </c>
      <c r="E13" s="130">
        <f>Bovinos_e_Comerc!D87</f>
        <v>19903.420000000002</v>
      </c>
      <c r="F13" s="130">
        <f>Bovinos_e_Comerc!E87</f>
        <v>0</v>
      </c>
      <c r="G13" s="130">
        <f>Bovinos_e_Comerc!F87</f>
        <v>4330.58</v>
      </c>
      <c r="H13" s="131">
        <f t="shared" si="0"/>
        <v>0.8300000000000001</v>
      </c>
      <c r="I13" s="132">
        <f>SUM(Reb__Est__por_faixa_etária!L10+Reb__Est__por_faixa_etária!N10)</f>
        <v>13072</v>
      </c>
      <c r="J13" s="146">
        <v>0.7380660954712362</v>
      </c>
      <c r="K13" s="133">
        <f t="shared" si="1"/>
        <v>9648</v>
      </c>
      <c r="L13" s="134">
        <f t="shared" si="2"/>
        <v>0.1285240464344942</v>
      </c>
      <c r="M13" s="134">
        <f t="shared" si="3"/>
        <v>0.47147595356550576</v>
      </c>
      <c r="N13" s="134">
        <v>0.13</v>
      </c>
      <c r="O13" s="134">
        <v>0.27</v>
      </c>
      <c r="P13" s="136">
        <f t="shared" si="4"/>
        <v>4153.572139303482</v>
      </c>
      <c r="Q13" s="137">
        <f t="shared" si="5"/>
        <v>13.618269309191744</v>
      </c>
      <c r="R13" s="138">
        <f t="shared" si="6"/>
        <v>40073.664</v>
      </c>
      <c r="S13" s="136">
        <v>7600</v>
      </c>
      <c r="T13" s="136">
        <v>4600</v>
      </c>
      <c r="U13" s="136">
        <v>3600</v>
      </c>
      <c r="V13" s="136">
        <v>2000</v>
      </c>
      <c r="W13" s="147"/>
      <c r="X13" s="140">
        <v>1240</v>
      </c>
      <c r="Y13" s="141">
        <f t="shared" si="7"/>
        <v>0.04867708251550601</v>
      </c>
      <c r="Z13" s="142">
        <f t="shared" si="8"/>
        <v>0.7380660954712362</v>
      </c>
      <c r="AA13" s="148">
        <v>9648</v>
      </c>
      <c r="AB13" s="144">
        <f t="shared" si="9"/>
        <v>0.45631217655421874</v>
      </c>
    </row>
    <row r="14" spans="1:28" s="149" customFormat="1" ht="21" customHeight="1">
      <c r="A14" s="145" t="s">
        <v>124</v>
      </c>
      <c r="B14" s="129">
        <f>Bovinos_e_Comerc!B101</f>
        <v>37464</v>
      </c>
      <c r="C14" s="130">
        <f>Bovinos_e_Comerc!C102+Bovinos_e_Comerc!D102</f>
        <v>24351.6</v>
      </c>
      <c r="D14" s="130">
        <f>Bovinos_e_Comerc!C102</f>
        <v>705</v>
      </c>
      <c r="E14" s="130">
        <f>Bovinos_e_Comerc!D102</f>
        <v>23646.6</v>
      </c>
      <c r="F14" s="130">
        <f>Bovinos_e_Comerc!E102</f>
        <v>374.64</v>
      </c>
      <c r="G14" s="130">
        <f>Bovinos_e_Comerc!F102</f>
        <v>12737.76</v>
      </c>
      <c r="H14" s="131">
        <f t="shared" si="0"/>
        <v>0.6499999999999999</v>
      </c>
      <c r="I14" s="132">
        <f>SUM(Reb__Est__por_faixa_etária!L11+Reb__Est__por_faixa_etária!N11)</f>
        <v>17337</v>
      </c>
      <c r="J14" s="146">
        <v>0.5952010151698679</v>
      </c>
      <c r="K14" s="133">
        <f t="shared" si="1"/>
        <v>10319</v>
      </c>
      <c r="L14" s="134">
        <f t="shared" si="2"/>
        <v>0.06832057369900184</v>
      </c>
      <c r="M14" s="134">
        <f t="shared" si="3"/>
        <v>0.48167942630099825</v>
      </c>
      <c r="N14" s="134">
        <v>0.25</v>
      </c>
      <c r="O14" s="134">
        <v>0.19999999999999996</v>
      </c>
      <c r="P14" s="136">
        <f t="shared" si="4"/>
        <v>4034.9617210970055</v>
      </c>
      <c r="Q14" s="137">
        <f t="shared" si="5"/>
        <v>13.229382692121328</v>
      </c>
      <c r="R14" s="138">
        <f t="shared" si="6"/>
        <v>41636.77</v>
      </c>
      <c r="S14" s="136">
        <v>7600</v>
      </c>
      <c r="T14" s="136">
        <v>4600</v>
      </c>
      <c r="U14" s="136">
        <v>3600</v>
      </c>
      <c r="V14" s="136">
        <v>2000</v>
      </c>
      <c r="W14" s="147"/>
      <c r="X14" s="140">
        <v>705</v>
      </c>
      <c r="Y14" s="141">
        <f t="shared" si="7"/>
        <v>0.01881806534272902</v>
      </c>
      <c r="Z14" s="142">
        <f t="shared" si="8"/>
        <v>0.5952010151698679</v>
      </c>
      <c r="AA14" s="148">
        <v>10319</v>
      </c>
      <c r="AB14" s="144">
        <f t="shared" si="9"/>
        <v>0.42375039011810317</v>
      </c>
    </row>
    <row r="15" spans="1:27" s="149" customFormat="1" ht="21" customHeight="1">
      <c r="A15" s="150" t="s">
        <v>125</v>
      </c>
      <c r="B15" s="151">
        <f>SUM(B8:B14)</f>
        <v>177658</v>
      </c>
      <c r="C15" s="151">
        <f>SUM(C8:C14)</f>
        <v>125540.29999999999</v>
      </c>
      <c r="D15" s="151"/>
      <c r="E15" s="151"/>
      <c r="F15" s="151"/>
      <c r="G15" s="151"/>
      <c r="H15" s="152">
        <f t="shared" si="0"/>
        <v>0.7066402863929572</v>
      </c>
      <c r="I15" s="151">
        <f>SUM(I8:I14)</f>
        <v>90832</v>
      </c>
      <c r="J15" s="152">
        <f>K15/I15</f>
        <v>0.6197375374317421</v>
      </c>
      <c r="K15" s="153">
        <f>SUM(K8:K14)</f>
        <v>56292</v>
      </c>
      <c r="L15" s="152">
        <f t="shared" si="2"/>
        <v>0.11186314218716692</v>
      </c>
      <c r="M15" s="152">
        <f t="shared" si="3"/>
        <v>0.4881368578128331</v>
      </c>
      <c r="N15" s="152">
        <v>0.25</v>
      </c>
      <c r="O15" s="152">
        <v>0.15000000000000002</v>
      </c>
      <c r="P15" s="154">
        <f t="shared" si="4"/>
        <v>4123.698820436296</v>
      </c>
      <c r="Q15" s="155">
        <f t="shared" si="5"/>
        <v>13.520324001430478</v>
      </c>
      <c r="R15" s="156">
        <f>SUM(R8:R14)</f>
        <v>232131.254</v>
      </c>
      <c r="S15" s="157">
        <v>7600</v>
      </c>
      <c r="T15" s="157">
        <v>4600</v>
      </c>
      <c r="U15" s="157">
        <v>3600.0000000000005</v>
      </c>
      <c r="V15" s="157">
        <v>2000</v>
      </c>
      <c r="W15" s="158"/>
      <c r="X15" s="154">
        <f>SUM(X8:X14)</f>
        <v>6297</v>
      </c>
      <c r="Y15" s="159">
        <f t="shared" si="7"/>
        <v>0.03544450573573946</v>
      </c>
      <c r="Z15" s="142">
        <f t="shared" si="8"/>
        <v>0.6197375374317421</v>
      </c>
      <c r="AA15" s="154">
        <f>SUM(AA8:AA14)</f>
        <v>56292</v>
      </c>
    </row>
  </sheetData>
  <sheetProtection/>
  <mergeCells count="12">
    <mergeCell ref="S6:V6"/>
    <mergeCell ref="X6:Y6"/>
    <mergeCell ref="Z6:AA6"/>
    <mergeCell ref="X7:Y7"/>
    <mergeCell ref="X2:AA2"/>
    <mergeCell ref="Z4:AA5"/>
    <mergeCell ref="B6:H6"/>
    <mergeCell ref="I6:I7"/>
    <mergeCell ref="J6:K6"/>
    <mergeCell ref="L6:O6"/>
    <mergeCell ref="P6:Q6"/>
    <mergeCell ref="R6:R7"/>
  </mergeCells>
  <printOptions horizontalCentered="1"/>
  <pageMargins left="0.39375" right="0.39375" top="0" bottom="0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2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K8" sqref="K8"/>
    </sheetView>
  </sheetViews>
  <sheetFormatPr defaultColWidth="12.1484375" defaultRowHeight="23.25"/>
  <cols>
    <col min="1" max="1" width="20" style="0" customWidth="1"/>
    <col min="2" max="9" width="7.4609375" style="0" customWidth="1"/>
    <col min="10" max="10" width="9.30859375" style="0" customWidth="1"/>
    <col min="11" max="12" width="10.4609375" style="0" customWidth="1"/>
    <col min="13" max="13" width="2.1484375" style="160" customWidth="1"/>
    <col min="14" max="14" width="12.1484375" style="0" customWidth="1"/>
    <col min="15" max="15" width="9.69140625" style="0" customWidth="1"/>
    <col min="16" max="16" width="10.69140625" style="0" customWidth="1"/>
    <col min="17" max="17" width="9.69140625" style="0" customWidth="1"/>
    <col min="18" max="18" width="6" style="0" customWidth="1"/>
    <col min="19" max="19" width="8.30859375" style="161" customWidth="1"/>
    <col min="20" max="20" width="8.30859375" style="162" customWidth="1"/>
    <col min="21" max="22" width="9.30859375" style="163" customWidth="1"/>
    <col min="23" max="23" width="7.83984375" style="0" customWidth="1"/>
    <col min="24" max="24" width="7" style="0" customWidth="1"/>
  </cols>
  <sheetData>
    <row r="1" spans="1:22" s="167" customFormat="1" ht="16.5" customHeight="1">
      <c r="A1" s="164" t="s">
        <v>126</v>
      </c>
      <c r="B1" s="165"/>
      <c r="C1" s="165"/>
      <c r="D1" s="165"/>
      <c r="E1" s="165"/>
      <c r="F1" s="165"/>
      <c r="G1" s="165"/>
      <c r="H1" s="165"/>
      <c r="I1" s="165"/>
      <c r="J1" s="338" t="s">
        <v>127</v>
      </c>
      <c r="K1" s="339" t="s">
        <v>128</v>
      </c>
      <c r="L1" s="339"/>
      <c r="M1" s="166"/>
      <c r="O1" s="168"/>
      <c r="P1" s="168"/>
      <c r="Q1" s="168"/>
      <c r="R1" s="169"/>
      <c r="S1" s="170"/>
      <c r="T1" s="171"/>
      <c r="U1" s="163"/>
      <c r="V1" s="163"/>
    </row>
    <row r="2" spans="1:22" s="167" customFormat="1" ht="14.25" customHeight="1">
      <c r="A2" s="172" t="s">
        <v>46</v>
      </c>
      <c r="B2" s="334" t="s">
        <v>129</v>
      </c>
      <c r="C2" s="334"/>
      <c r="D2" s="334" t="s">
        <v>130</v>
      </c>
      <c r="E2" s="334"/>
      <c r="F2" s="334" t="s">
        <v>131</v>
      </c>
      <c r="G2" s="334"/>
      <c r="H2" s="334" t="s">
        <v>132</v>
      </c>
      <c r="I2" s="334"/>
      <c r="J2" s="338"/>
      <c r="K2" s="340" t="s">
        <v>133</v>
      </c>
      <c r="L2" s="340"/>
      <c r="M2" s="166"/>
      <c r="N2" s="335" t="s">
        <v>46</v>
      </c>
      <c r="O2" s="336" t="s">
        <v>47</v>
      </c>
      <c r="P2" s="336"/>
      <c r="Q2" s="336"/>
      <c r="R2" s="173"/>
      <c r="S2" s="337" t="s">
        <v>104</v>
      </c>
      <c r="T2" s="337"/>
      <c r="U2" s="163"/>
      <c r="V2" s="163"/>
    </row>
    <row r="3" spans="1:22" s="167" customFormat="1" ht="15.75" customHeight="1">
      <c r="A3" s="174" t="s">
        <v>134</v>
      </c>
      <c r="B3" s="175" t="s">
        <v>135</v>
      </c>
      <c r="C3" s="175" t="s">
        <v>136</v>
      </c>
      <c r="D3" s="175" t="s">
        <v>135</v>
      </c>
      <c r="E3" s="175" t="s">
        <v>136</v>
      </c>
      <c r="F3" s="175" t="s">
        <v>135</v>
      </c>
      <c r="G3" s="175" t="s">
        <v>136</v>
      </c>
      <c r="H3" s="175" t="s">
        <v>135</v>
      </c>
      <c r="I3" s="175" t="s">
        <v>136</v>
      </c>
      <c r="J3" s="176">
        <f>SUM(Reb__Est__por_faixa_etária!D5)</f>
        <v>380</v>
      </c>
      <c r="K3" s="177" t="s">
        <v>137</v>
      </c>
      <c r="L3" s="177" t="s">
        <v>138</v>
      </c>
      <c r="M3" s="166"/>
      <c r="N3" s="335"/>
      <c r="O3" s="329" t="s">
        <v>54</v>
      </c>
      <c r="P3" s="329" t="s">
        <v>55</v>
      </c>
      <c r="Q3" s="329" t="s">
        <v>56</v>
      </c>
      <c r="R3" s="178"/>
      <c r="S3" s="337" t="s">
        <v>139</v>
      </c>
      <c r="T3" s="337"/>
      <c r="U3" s="163"/>
      <c r="V3" s="163"/>
    </row>
    <row r="4" spans="1:22" s="167" customFormat="1" ht="15.75">
      <c r="A4" s="179" t="s">
        <v>140</v>
      </c>
      <c r="B4" s="180">
        <v>13</v>
      </c>
      <c r="C4" s="180">
        <v>12</v>
      </c>
      <c r="D4" s="180">
        <v>168</v>
      </c>
      <c r="E4" s="180">
        <v>127</v>
      </c>
      <c r="F4" s="180">
        <v>477</v>
      </c>
      <c r="G4" s="180">
        <v>153</v>
      </c>
      <c r="H4" s="180">
        <v>180</v>
      </c>
      <c r="I4" s="180">
        <v>632</v>
      </c>
      <c r="J4" s="179"/>
      <c r="K4" s="181">
        <f>J3*0.6</f>
        <v>228.00000000000003</v>
      </c>
      <c r="L4" s="181">
        <f>J3*0.4</f>
        <v>152</v>
      </c>
      <c r="M4" s="166"/>
      <c r="N4" s="335"/>
      <c r="O4" s="329"/>
      <c r="P4" s="329"/>
      <c r="Q4" s="329"/>
      <c r="R4" s="178"/>
      <c r="S4" s="182">
        <v>2020</v>
      </c>
      <c r="T4" s="182">
        <v>2019</v>
      </c>
      <c r="U4" s="163"/>
      <c r="V4" s="163"/>
    </row>
    <row r="5" spans="1:22" s="167" customFormat="1" ht="15.75">
      <c r="A5" s="179" t="s">
        <v>141</v>
      </c>
      <c r="B5" s="180">
        <v>1397</v>
      </c>
      <c r="C5" s="180">
        <v>1174</v>
      </c>
      <c r="D5" s="180">
        <v>799</v>
      </c>
      <c r="E5" s="180">
        <v>880</v>
      </c>
      <c r="F5" s="180">
        <v>396</v>
      </c>
      <c r="G5" s="180">
        <v>389</v>
      </c>
      <c r="H5" s="180">
        <v>261</v>
      </c>
      <c r="I5" s="180">
        <v>1500</v>
      </c>
      <c r="J5" s="183"/>
      <c r="K5" s="184"/>
      <c r="L5" s="184"/>
      <c r="M5" s="166"/>
      <c r="N5" s="185" t="s">
        <v>67</v>
      </c>
      <c r="O5" s="186">
        <f>SUM(F4,H4,F11,H11)</f>
        <v>657</v>
      </c>
      <c r="P5" s="186">
        <f>SUM(B4,D4,B11,D11,K4)</f>
        <v>409</v>
      </c>
      <c r="Q5" s="187"/>
      <c r="R5" s="188"/>
      <c r="S5" s="189">
        <f>(O5+P5+O6+P6+O12+P12+O13+P13+Q13+Q12)</f>
        <v>9057.9</v>
      </c>
      <c r="T5" s="189">
        <v>11935</v>
      </c>
      <c r="U5" s="163"/>
      <c r="V5" s="163"/>
    </row>
    <row r="6" spans="1:22" s="167" customFormat="1" ht="15.75">
      <c r="A6" s="179" t="s">
        <v>142</v>
      </c>
      <c r="B6" s="180">
        <v>0</v>
      </c>
      <c r="C6" s="180">
        <v>6</v>
      </c>
      <c r="D6" s="180">
        <v>0</v>
      </c>
      <c r="E6" s="180">
        <v>7</v>
      </c>
      <c r="F6" s="180">
        <v>0</v>
      </c>
      <c r="G6" s="180">
        <v>22</v>
      </c>
      <c r="H6" s="180">
        <v>0</v>
      </c>
      <c r="I6" s="180">
        <v>64</v>
      </c>
      <c r="J6" s="183"/>
      <c r="K6" s="184"/>
      <c r="L6" s="184"/>
      <c r="M6" s="166"/>
      <c r="N6" s="185" t="s">
        <v>69</v>
      </c>
      <c r="O6" s="186">
        <f>SUM(G4,I4,G11,I11)</f>
        <v>785</v>
      </c>
      <c r="P6" s="186">
        <f>SUM(C4,E4,C11,E11,L4)</f>
        <v>291</v>
      </c>
      <c r="Q6" s="190"/>
      <c r="R6" s="191"/>
      <c r="S6" s="192" t="s">
        <v>143</v>
      </c>
      <c r="T6" s="193">
        <f>S5-T5</f>
        <v>-2877.1000000000004</v>
      </c>
      <c r="U6" s="163"/>
      <c r="V6" s="163"/>
    </row>
    <row r="7" spans="1:22" s="167" customFormat="1" ht="15.75">
      <c r="A7" s="179" t="s">
        <v>144</v>
      </c>
      <c r="B7" s="180">
        <v>90</v>
      </c>
      <c r="C7" s="180">
        <v>71</v>
      </c>
      <c r="D7" s="180">
        <v>2</v>
      </c>
      <c r="E7" s="180">
        <v>2</v>
      </c>
      <c r="F7" s="180">
        <v>2</v>
      </c>
      <c r="G7" s="180">
        <v>0</v>
      </c>
      <c r="H7" s="180">
        <v>0</v>
      </c>
      <c r="I7" s="180">
        <v>0</v>
      </c>
      <c r="J7" s="183"/>
      <c r="K7" s="184"/>
      <c r="L7" s="184"/>
      <c r="M7" s="166"/>
      <c r="O7" s="168"/>
      <c r="P7" s="168"/>
      <c r="Q7" s="168"/>
      <c r="R7" s="169"/>
      <c r="S7" s="194"/>
      <c r="T7" s="195"/>
      <c r="U7" s="163"/>
      <c r="V7" s="163"/>
    </row>
    <row r="8" spans="1:22" s="167" customFormat="1" ht="6" customHeight="1">
      <c r="A8" s="184"/>
      <c r="B8"/>
      <c r="C8"/>
      <c r="D8"/>
      <c r="E8"/>
      <c r="F8"/>
      <c r="G8"/>
      <c r="H8"/>
      <c r="I8"/>
      <c r="J8" s="184"/>
      <c r="K8" s="184"/>
      <c r="L8" s="184"/>
      <c r="M8" s="166"/>
      <c r="O8" s="168"/>
      <c r="P8" s="168"/>
      <c r="Q8" s="168"/>
      <c r="R8" s="169"/>
      <c r="S8" s="194"/>
      <c r="T8" s="195"/>
      <c r="U8" s="163"/>
      <c r="V8" s="163"/>
    </row>
    <row r="9" spans="1:22" s="167" customFormat="1" ht="13.5" customHeight="1">
      <c r="A9" s="172" t="s">
        <v>46</v>
      </c>
      <c r="B9" s="333" t="s">
        <v>129</v>
      </c>
      <c r="C9" s="333"/>
      <c r="D9" s="333" t="s">
        <v>130</v>
      </c>
      <c r="E9" s="333"/>
      <c r="F9" s="334" t="s">
        <v>131</v>
      </c>
      <c r="G9" s="334"/>
      <c r="H9" s="334" t="s">
        <v>132</v>
      </c>
      <c r="I9" s="334"/>
      <c r="J9" s="196"/>
      <c r="K9" s="196"/>
      <c r="L9" s="196"/>
      <c r="M9" s="166"/>
      <c r="N9" s="335" t="s">
        <v>46</v>
      </c>
      <c r="O9" s="336" t="s">
        <v>145</v>
      </c>
      <c r="P9" s="336"/>
      <c r="Q9" s="336"/>
      <c r="R9" s="173"/>
      <c r="S9" s="328">
        <v>2019</v>
      </c>
      <c r="T9" s="328"/>
      <c r="U9" s="163"/>
      <c r="V9" s="163"/>
    </row>
    <row r="10" spans="1:22" s="167" customFormat="1" ht="13.5" customHeight="1">
      <c r="A10" s="174" t="s">
        <v>146</v>
      </c>
      <c r="B10" s="197" t="s">
        <v>135</v>
      </c>
      <c r="C10" s="197" t="s">
        <v>136</v>
      </c>
      <c r="D10" s="197" t="s">
        <v>135</v>
      </c>
      <c r="E10" s="197" t="s">
        <v>136</v>
      </c>
      <c r="F10" s="175" t="s">
        <v>135</v>
      </c>
      <c r="G10" s="175" t="s">
        <v>136</v>
      </c>
      <c r="H10" s="175" t="s">
        <v>135</v>
      </c>
      <c r="I10" s="175" t="s">
        <v>136</v>
      </c>
      <c r="J10" s="196"/>
      <c r="K10" s="196"/>
      <c r="L10" s="196"/>
      <c r="M10" s="166"/>
      <c r="N10" s="335"/>
      <c r="O10" s="329" t="s">
        <v>57</v>
      </c>
      <c r="P10" s="330" t="s">
        <v>147</v>
      </c>
      <c r="Q10" s="330" t="s">
        <v>59</v>
      </c>
      <c r="R10" s="198"/>
      <c r="S10" s="331" t="s">
        <v>57</v>
      </c>
      <c r="T10" s="332" t="s">
        <v>147</v>
      </c>
      <c r="U10" s="163"/>
      <c r="V10" s="163"/>
    </row>
    <row r="11" spans="1:22" s="167" customFormat="1" ht="15.75">
      <c r="A11" s="179" t="s">
        <v>140</v>
      </c>
      <c r="B11" s="199"/>
      <c r="C11" s="199"/>
      <c r="D11" s="199"/>
      <c r="E11" s="199"/>
      <c r="F11" s="199"/>
      <c r="G11" s="199"/>
      <c r="H11" s="199"/>
      <c r="I11" s="199"/>
      <c r="J11" s="183"/>
      <c r="K11" s="184"/>
      <c r="L11" s="184"/>
      <c r="M11" s="166"/>
      <c r="N11" s="335"/>
      <c r="O11" s="329"/>
      <c r="P11" s="329"/>
      <c r="Q11" s="330"/>
      <c r="R11" s="198"/>
      <c r="S11" s="331"/>
      <c r="T11" s="331"/>
      <c r="U11" s="163"/>
      <c r="V11" s="163"/>
    </row>
    <row r="12" spans="1:24" s="167" customFormat="1" ht="15.75">
      <c r="A12" s="200" t="s">
        <v>141</v>
      </c>
      <c r="B12" s="180">
        <v>953</v>
      </c>
      <c r="C12" s="180">
        <v>724</v>
      </c>
      <c r="D12" s="180">
        <v>360</v>
      </c>
      <c r="E12" s="180">
        <v>275</v>
      </c>
      <c r="F12" s="180">
        <v>175</v>
      </c>
      <c r="G12" s="180">
        <v>116</v>
      </c>
      <c r="H12" s="180">
        <v>199</v>
      </c>
      <c r="I12" s="180">
        <v>755</v>
      </c>
      <c r="J12" s="183"/>
      <c r="K12" s="184"/>
      <c r="L12" s="184"/>
      <c r="M12" s="166"/>
      <c r="N12" s="201" t="s">
        <v>67</v>
      </c>
      <c r="O12" s="202">
        <f>SUM(B5,B6,B7,B12,B13)*0.58</f>
        <v>1416.9399999999998</v>
      </c>
      <c r="P12" s="202">
        <f>SUM(D5,F5,H5,D7,F7,H7,D12,F12,H12)*0.59</f>
        <v>1294.46</v>
      </c>
      <c r="Q12" s="202">
        <f>SUM(D6,F6,H6,D13,F13,H13)</f>
        <v>1</v>
      </c>
      <c r="R12" s="191"/>
      <c r="S12" s="203">
        <v>1618</v>
      </c>
      <c r="T12" s="204">
        <v>2349</v>
      </c>
      <c r="U12" s="205">
        <f>O12/S12*1-1</f>
        <v>-0.12426452410383204</v>
      </c>
      <c r="V12" s="205">
        <f>P12/T12*1-1</f>
        <v>-0.44893146019582797</v>
      </c>
      <c r="W12" s="206">
        <f>O12-S12</f>
        <v>-201.06000000000017</v>
      </c>
      <c r="X12" s="206">
        <f>P12-T12</f>
        <v>-1054.54</v>
      </c>
    </row>
    <row r="13" spans="1:24" s="167" customFormat="1" ht="15.75">
      <c r="A13" s="200" t="s">
        <v>142</v>
      </c>
      <c r="B13" s="180">
        <v>3</v>
      </c>
      <c r="C13" s="180">
        <v>29</v>
      </c>
      <c r="D13" s="180">
        <v>0</v>
      </c>
      <c r="E13" s="180">
        <v>29</v>
      </c>
      <c r="F13" s="180">
        <v>0</v>
      </c>
      <c r="G13" s="180">
        <v>40</v>
      </c>
      <c r="H13" s="180">
        <v>1</v>
      </c>
      <c r="I13" s="180">
        <v>202</v>
      </c>
      <c r="J13" s="183"/>
      <c r="K13" s="184"/>
      <c r="L13" s="184"/>
      <c r="M13" s="166"/>
      <c r="N13" s="201" t="s">
        <v>69</v>
      </c>
      <c r="O13" s="202">
        <f>SUM(C5,C6,C7,C12,C13)*0.76</f>
        <v>1523.04</v>
      </c>
      <c r="P13" s="202">
        <f>SUM(E5,G5,I5,E6,E7,G7,I7,E12,G12,I12,E13)*0.62</f>
        <v>2450.86</v>
      </c>
      <c r="Q13" s="202">
        <f>SUM(G6,I6,G13,I13)*0.7</f>
        <v>229.6</v>
      </c>
      <c r="R13" s="191"/>
      <c r="S13" s="207">
        <v>1774</v>
      </c>
      <c r="T13" s="207">
        <v>4494</v>
      </c>
      <c r="U13" s="205">
        <f>O13/S13*1-1</f>
        <v>-0.1414656144306652</v>
      </c>
      <c r="V13" s="205">
        <f>P13/T13*1-1</f>
        <v>-0.4546372941700044</v>
      </c>
      <c r="W13" s="206">
        <f>O13-S13</f>
        <v>-250.96000000000004</v>
      </c>
      <c r="X13" s="206">
        <f>P13-T13</f>
        <v>-2043.1399999999999</v>
      </c>
    </row>
    <row r="14" spans="1:20" ht="15.75">
      <c r="A14" s="208"/>
      <c r="J14" s="208"/>
      <c r="K14" s="208"/>
      <c r="L14" s="208"/>
      <c r="M14" s="209"/>
      <c r="N14" s="208"/>
      <c r="O14" s="208"/>
      <c r="P14" s="208"/>
      <c r="Q14" s="208"/>
      <c r="R14" s="208"/>
      <c r="S14" s="210"/>
      <c r="T14" s="211"/>
    </row>
    <row r="15" spans="1:22" s="167" customFormat="1" ht="16.5" customHeight="1">
      <c r="A15" s="164" t="s">
        <v>148</v>
      </c>
      <c r="B15" s="165"/>
      <c r="C15" s="165"/>
      <c r="D15" s="165"/>
      <c r="E15" s="165"/>
      <c r="F15" s="165"/>
      <c r="G15" s="165"/>
      <c r="H15" s="165"/>
      <c r="I15" s="165"/>
      <c r="J15" s="338" t="s">
        <v>127</v>
      </c>
      <c r="K15" s="339" t="s">
        <v>128</v>
      </c>
      <c r="L15" s="339"/>
      <c r="M15" s="166"/>
      <c r="O15" s="168"/>
      <c r="P15" s="168"/>
      <c r="Q15" s="168"/>
      <c r="R15" s="169"/>
      <c r="S15" s="170"/>
      <c r="T15" s="171"/>
      <c r="U15" s="163"/>
      <c r="V15" s="163"/>
    </row>
    <row r="16" spans="1:22" s="167" customFormat="1" ht="14.25" customHeight="1">
      <c r="A16" s="172" t="s">
        <v>46</v>
      </c>
      <c r="B16" s="334" t="s">
        <v>129</v>
      </c>
      <c r="C16" s="334"/>
      <c r="D16" s="334" t="s">
        <v>130</v>
      </c>
      <c r="E16" s="334"/>
      <c r="F16" s="334" t="s">
        <v>131</v>
      </c>
      <c r="G16" s="334"/>
      <c r="H16" s="334" t="s">
        <v>132</v>
      </c>
      <c r="I16" s="334"/>
      <c r="J16" s="338"/>
      <c r="K16" s="340" t="s">
        <v>133</v>
      </c>
      <c r="L16" s="340"/>
      <c r="M16" s="166"/>
      <c r="N16" s="335" t="s">
        <v>46</v>
      </c>
      <c r="O16" s="336" t="s">
        <v>47</v>
      </c>
      <c r="P16" s="336"/>
      <c r="Q16" s="336"/>
      <c r="R16" s="173"/>
      <c r="S16" s="337" t="s">
        <v>104</v>
      </c>
      <c r="T16" s="337"/>
      <c r="U16" s="163"/>
      <c r="V16" s="163"/>
    </row>
    <row r="17" spans="1:22" s="167" customFormat="1" ht="15.75" customHeight="1">
      <c r="A17" s="174" t="s">
        <v>134</v>
      </c>
      <c r="B17" s="175" t="s">
        <v>135</v>
      </c>
      <c r="C17" s="175" t="s">
        <v>136</v>
      </c>
      <c r="D17" s="175" t="s">
        <v>135</v>
      </c>
      <c r="E17" s="175" t="s">
        <v>136</v>
      </c>
      <c r="F17" s="175" t="s">
        <v>135</v>
      </c>
      <c r="G17" s="175" t="s">
        <v>136</v>
      </c>
      <c r="H17" s="175" t="s">
        <v>135</v>
      </c>
      <c r="I17" s="175" t="s">
        <v>136</v>
      </c>
      <c r="J17" s="176">
        <f>SUM(Reb__Est__por_faixa_etária!D6)</f>
        <v>278</v>
      </c>
      <c r="K17" s="177" t="s">
        <v>137</v>
      </c>
      <c r="L17" s="177" t="s">
        <v>138</v>
      </c>
      <c r="M17" s="166"/>
      <c r="N17" s="335"/>
      <c r="O17" s="329" t="s">
        <v>54</v>
      </c>
      <c r="P17" s="329" t="s">
        <v>55</v>
      </c>
      <c r="Q17" s="329" t="s">
        <v>56</v>
      </c>
      <c r="R17" s="178"/>
      <c r="S17" s="337" t="s">
        <v>139</v>
      </c>
      <c r="T17" s="337"/>
      <c r="U17" s="163"/>
      <c r="V17" s="163"/>
    </row>
    <row r="18" spans="1:22" s="167" customFormat="1" ht="15.75">
      <c r="A18" s="179" t="s">
        <v>140</v>
      </c>
      <c r="B18" s="180">
        <v>100</v>
      </c>
      <c r="C18" s="180">
        <v>21</v>
      </c>
      <c r="D18" s="180">
        <v>493</v>
      </c>
      <c r="E18" s="180">
        <v>316</v>
      </c>
      <c r="F18" s="180">
        <v>523</v>
      </c>
      <c r="G18" s="180">
        <v>107</v>
      </c>
      <c r="H18" s="180">
        <v>28</v>
      </c>
      <c r="I18" s="180">
        <v>989</v>
      </c>
      <c r="J18" s="179"/>
      <c r="K18" s="181">
        <f>J17*0.6</f>
        <v>166.8</v>
      </c>
      <c r="L18" s="181">
        <f>J17*0.4</f>
        <v>111.2</v>
      </c>
      <c r="M18" s="166"/>
      <c r="N18" s="335"/>
      <c r="O18" s="329"/>
      <c r="P18" s="329"/>
      <c r="Q18" s="329"/>
      <c r="R18" s="178"/>
      <c r="S18" s="212">
        <f>S4</f>
        <v>2020</v>
      </c>
      <c r="T18" s="212">
        <f>T4</f>
        <v>2019</v>
      </c>
      <c r="U18" s="163"/>
      <c r="V18" s="163"/>
    </row>
    <row r="19" spans="1:22" s="167" customFormat="1" ht="15.75">
      <c r="A19" s="179" t="s">
        <v>141</v>
      </c>
      <c r="B19" s="180">
        <v>1326</v>
      </c>
      <c r="C19" s="180">
        <v>1490</v>
      </c>
      <c r="D19" s="180">
        <v>320</v>
      </c>
      <c r="E19" s="180">
        <v>271</v>
      </c>
      <c r="F19" s="180">
        <v>38</v>
      </c>
      <c r="G19" s="180">
        <v>112</v>
      </c>
      <c r="H19" s="180">
        <v>15</v>
      </c>
      <c r="I19" s="180">
        <v>536</v>
      </c>
      <c r="J19" s="183"/>
      <c r="K19" s="184"/>
      <c r="L19" s="184"/>
      <c r="M19" s="166"/>
      <c r="N19" s="185" t="s">
        <v>67</v>
      </c>
      <c r="O19" s="186">
        <f>SUM(F18,H18,F25,H25)</f>
        <v>567</v>
      </c>
      <c r="P19" s="186">
        <f>SUM(B18,D18,B25,D25,K18)</f>
        <v>811.8</v>
      </c>
      <c r="Q19" s="187"/>
      <c r="R19" s="188"/>
      <c r="S19" s="189">
        <f>(O19+P19+O20+P20+O26+P26+O27+P27+Q27+Q26)</f>
        <v>8021.95</v>
      </c>
      <c r="T19" s="213">
        <v>8664</v>
      </c>
      <c r="U19" s="163"/>
      <c r="V19" s="163"/>
    </row>
    <row r="20" spans="1:22" s="167" customFormat="1" ht="15.75">
      <c r="A20" s="179" t="s">
        <v>142</v>
      </c>
      <c r="B20" s="180">
        <v>0</v>
      </c>
      <c r="C20" s="180">
        <v>6</v>
      </c>
      <c r="D20" s="180">
        <v>0</v>
      </c>
      <c r="E20" s="180">
        <v>39</v>
      </c>
      <c r="F20" s="180">
        <v>0</v>
      </c>
      <c r="G20" s="180">
        <v>21</v>
      </c>
      <c r="H20" s="180">
        <v>0</v>
      </c>
      <c r="I20" s="180">
        <v>147</v>
      </c>
      <c r="J20" s="183"/>
      <c r="K20" s="184"/>
      <c r="L20" s="184"/>
      <c r="M20" s="166"/>
      <c r="N20" s="185" t="s">
        <v>69</v>
      </c>
      <c r="O20" s="186">
        <f>SUM(G18,I18,G25,I25)</f>
        <v>1217</v>
      </c>
      <c r="P20" s="186">
        <f>SUM(C18,E18,C25,E25,L18)</f>
        <v>480.2</v>
      </c>
      <c r="Q20" s="190"/>
      <c r="R20" s="191"/>
      <c r="S20" s="192" t="s">
        <v>143</v>
      </c>
      <c r="T20" s="193">
        <f>S19-T19</f>
        <v>-642.0500000000002</v>
      </c>
      <c r="U20" s="163"/>
      <c r="V20" s="163"/>
    </row>
    <row r="21" spans="1:22" s="167" customFormat="1" ht="15.75">
      <c r="A21" s="179" t="s">
        <v>144</v>
      </c>
      <c r="B21" s="180">
        <v>157</v>
      </c>
      <c r="C21" s="180">
        <v>256</v>
      </c>
      <c r="D21" s="180">
        <v>6</v>
      </c>
      <c r="E21" s="180">
        <v>3</v>
      </c>
      <c r="F21" s="180">
        <v>2</v>
      </c>
      <c r="G21" s="180">
        <v>0</v>
      </c>
      <c r="H21" s="180">
        <v>2</v>
      </c>
      <c r="I21" s="180">
        <v>0</v>
      </c>
      <c r="J21" s="184"/>
      <c r="K21" s="184"/>
      <c r="L21" s="184"/>
      <c r="M21" s="166"/>
      <c r="O21" s="168"/>
      <c r="P21" s="168"/>
      <c r="Q21" s="168"/>
      <c r="R21" s="169"/>
      <c r="S21" s="194"/>
      <c r="T21" s="195"/>
      <c r="U21" s="163"/>
      <c r="V21" s="163"/>
    </row>
    <row r="22" spans="1:22" s="167" customFormat="1" ht="6" customHeight="1">
      <c r="A22" s="184"/>
      <c r="B22"/>
      <c r="C22"/>
      <c r="D22"/>
      <c r="E22"/>
      <c r="F22"/>
      <c r="G22"/>
      <c r="H22"/>
      <c r="I22"/>
      <c r="J22" s="184"/>
      <c r="K22" s="184"/>
      <c r="L22" s="184"/>
      <c r="M22" s="166"/>
      <c r="O22" s="168"/>
      <c r="P22" s="168"/>
      <c r="Q22" s="168"/>
      <c r="R22" s="169"/>
      <c r="S22" s="194"/>
      <c r="T22" s="195"/>
      <c r="U22" s="163"/>
      <c r="V22" s="163"/>
    </row>
    <row r="23" spans="1:22" s="167" customFormat="1" ht="15.75">
      <c r="A23" s="172" t="s">
        <v>46</v>
      </c>
      <c r="B23" s="333" t="s">
        <v>129</v>
      </c>
      <c r="C23" s="333"/>
      <c r="D23" s="333" t="s">
        <v>130</v>
      </c>
      <c r="E23" s="333"/>
      <c r="F23" s="334" t="s">
        <v>131</v>
      </c>
      <c r="G23" s="334"/>
      <c r="H23" s="334" t="s">
        <v>132</v>
      </c>
      <c r="I23" s="334"/>
      <c r="J23" s="214"/>
      <c r="K23" s="196"/>
      <c r="L23" s="196"/>
      <c r="M23" s="166"/>
      <c r="N23" s="335" t="s">
        <v>46</v>
      </c>
      <c r="O23" s="336" t="s">
        <v>145</v>
      </c>
      <c r="P23" s="336"/>
      <c r="Q23" s="336"/>
      <c r="R23" s="173"/>
      <c r="S23" s="328">
        <v>2019</v>
      </c>
      <c r="T23" s="328"/>
      <c r="U23" s="163"/>
      <c r="V23" s="163"/>
    </row>
    <row r="24" spans="1:22" s="167" customFormat="1" ht="13.5" customHeight="1">
      <c r="A24" s="174" t="s">
        <v>146</v>
      </c>
      <c r="B24" s="197" t="s">
        <v>135</v>
      </c>
      <c r="C24" s="197" t="s">
        <v>136</v>
      </c>
      <c r="D24" s="197" t="s">
        <v>135</v>
      </c>
      <c r="E24" s="197" t="s">
        <v>136</v>
      </c>
      <c r="F24" s="175" t="s">
        <v>135</v>
      </c>
      <c r="G24" s="175" t="s">
        <v>136</v>
      </c>
      <c r="H24" s="175" t="s">
        <v>135</v>
      </c>
      <c r="I24" s="175" t="s">
        <v>136</v>
      </c>
      <c r="J24" s="214"/>
      <c r="K24" s="196"/>
      <c r="L24" s="196"/>
      <c r="M24" s="166"/>
      <c r="N24" s="335"/>
      <c r="O24" s="329" t="s">
        <v>57</v>
      </c>
      <c r="P24" s="330" t="s">
        <v>147</v>
      </c>
      <c r="Q24" s="330" t="s">
        <v>59</v>
      </c>
      <c r="R24" s="198"/>
      <c r="S24" s="331" t="s">
        <v>57</v>
      </c>
      <c r="T24" s="332" t="s">
        <v>147</v>
      </c>
      <c r="U24" s="163"/>
      <c r="V24" s="163"/>
    </row>
    <row r="25" spans="1:22" s="167" customFormat="1" ht="15.75">
      <c r="A25" s="200" t="s">
        <v>140</v>
      </c>
      <c r="B25" s="180">
        <v>7</v>
      </c>
      <c r="C25" s="180">
        <v>7</v>
      </c>
      <c r="D25" s="180">
        <v>45</v>
      </c>
      <c r="E25" s="180">
        <v>25</v>
      </c>
      <c r="F25" s="180">
        <v>3</v>
      </c>
      <c r="G25" s="180">
        <v>28</v>
      </c>
      <c r="H25" s="180">
        <v>13</v>
      </c>
      <c r="I25" s="180">
        <v>93</v>
      </c>
      <c r="J25" s="183"/>
      <c r="K25" s="184"/>
      <c r="L25" s="184"/>
      <c r="M25" s="166"/>
      <c r="N25" s="335"/>
      <c r="O25" s="329"/>
      <c r="P25" s="329"/>
      <c r="Q25" s="330"/>
      <c r="R25" s="198"/>
      <c r="S25" s="331"/>
      <c r="T25" s="331"/>
      <c r="U25" s="163"/>
      <c r="V25" s="163"/>
    </row>
    <row r="26" spans="1:24" s="167" customFormat="1" ht="15.75">
      <c r="A26" s="200" t="s">
        <v>141</v>
      </c>
      <c r="B26" s="180">
        <v>545</v>
      </c>
      <c r="C26" s="180">
        <v>397</v>
      </c>
      <c r="D26" s="180">
        <v>544</v>
      </c>
      <c r="E26" s="180">
        <v>240</v>
      </c>
      <c r="F26" s="180">
        <v>77</v>
      </c>
      <c r="G26" s="180">
        <v>138</v>
      </c>
      <c r="H26" s="180">
        <v>33</v>
      </c>
      <c r="I26" s="180">
        <v>786</v>
      </c>
      <c r="J26" s="183"/>
      <c r="K26" s="184"/>
      <c r="L26" s="184"/>
      <c r="M26" s="166"/>
      <c r="N26" s="201" t="s">
        <v>67</v>
      </c>
      <c r="O26" s="202">
        <f>SUM(B19,B20,B21,B26,B27)*0.68</f>
        <v>1379.0400000000002</v>
      </c>
      <c r="P26" s="202">
        <f>SUM(D19,F19,H19,D21,F21,H21,D26,F26,H26)*0.72</f>
        <v>746.64</v>
      </c>
      <c r="Q26" s="202">
        <f>SUM(D20,F20,H20,D27,F27,H27)</f>
        <v>1</v>
      </c>
      <c r="R26" s="191"/>
      <c r="S26" s="203">
        <v>1702</v>
      </c>
      <c r="T26" s="204">
        <v>911</v>
      </c>
      <c r="U26" s="205">
        <f>O26/S26*1-1</f>
        <v>-0.18975323149236178</v>
      </c>
      <c r="V26" s="205">
        <f>P26/T26*1-1</f>
        <v>-0.18041712403951704</v>
      </c>
      <c r="W26" s="206">
        <f>O26-S26</f>
        <v>-322.9599999999998</v>
      </c>
      <c r="X26" s="206">
        <f>P26-T26</f>
        <v>-164.36</v>
      </c>
    </row>
    <row r="27" spans="1:24" s="167" customFormat="1" ht="15.75">
      <c r="A27" s="200" t="s">
        <v>142</v>
      </c>
      <c r="B27" s="180">
        <v>0</v>
      </c>
      <c r="C27" s="180">
        <v>27</v>
      </c>
      <c r="D27" s="180">
        <v>0</v>
      </c>
      <c r="E27" s="180">
        <v>22</v>
      </c>
      <c r="F27" s="180">
        <v>0</v>
      </c>
      <c r="G27" s="180">
        <v>32</v>
      </c>
      <c r="H27" s="180">
        <v>1</v>
      </c>
      <c r="I27" s="180">
        <v>125</v>
      </c>
      <c r="J27" s="183"/>
      <c r="K27" s="184"/>
      <c r="L27" s="184"/>
      <c r="M27" s="166"/>
      <c r="N27" s="201" t="s">
        <v>69</v>
      </c>
      <c r="O27" s="202">
        <f>SUM(C19,C20,C21,C26,C27)*0.53</f>
        <v>1153.28</v>
      </c>
      <c r="P27" s="202">
        <f>SUM(E19,G19,I19,E20,E21,G21,I21,E26,G26,I26,E27)*0.67</f>
        <v>1438.49</v>
      </c>
      <c r="Q27" s="202">
        <f>SUM(G20,I20,G27,I27)*0.7</f>
        <v>227.49999999999997</v>
      </c>
      <c r="R27" s="191"/>
      <c r="S27" s="207">
        <v>1447</v>
      </c>
      <c r="T27" s="207">
        <v>1772</v>
      </c>
      <c r="U27" s="205">
        <f>O27/S27*1-1</f>
        <v>-0.20298548721492748</v>
      </c>
      <c r="V27" s="205">
        <f>P27/T27*1-1</f>
        <v>-0.18821106094808127</v>
      </c>
      <c r="W27" s="206">
        <f>O27-S27</f>
        <v>-293.72</v>
      </c>
      <c r="X27" s="206">
        <f>P27-T27</f>
        <v>-333.51</v>
      </c>
    </row>
    <row r="28" spans="1:20" ht="15.75">
      <c r="A28" s="208"/>
      <c r="J28" s="208"/>
      <c r="K28" s="208"/>
      <c r="L28" s="208"/>
      <c r="M28" s="209"/>
      <c r="N28" s="208"/>
      <c r="O28" s="208"/>
      <c r="P28" s="208"/>
      <c r="Q28" s="208"/>
      <c r="R28" s="208"/>
      <c r="S28" s="210"/>
      <c r="T28" s="211"/>
    </row>
    <row r="29" spans="1:22" s="167" customFormat="1" ht="16.5" customHeight="1">
      <c r="A29" s="164" t="s">
        <v>80</v>
      </c>
      <c r="B29" s="165"/>
      <c r="C29" s="165"/>
      <c r="D29" s="165"/>
      <c r="E29" s="165"/>
      <c r="F29" s="165"/>
      <c r="G29" s="165"/>
      <c r="H29" s="165"/>
      <c r="I29" s="165"/>
      <c r="J29" s="338" t="s">
        <v>127</v>
      </c>
      <c r="K29" s="339" t="s">
        <v>128</v>
      </c>
      <c r="L29" s="339"/>
      <c r="M29" s="166"/>
      <c r="O29" s="168"/>
      <c r="P29" s="168"/>
      <c r="Q29" s="168"/>
      <c r="R29" s="169"/>
      <c r="S29" s="170"/>
      <c r="T29" s="171"/>
      <c r="U29" s="163"/>
      <c r="V29" s="163"/>
    </row>
    <row r="30" spans="1:22" s="167" customFormat="1" ht="14.25" customHeight="1">
      <c r="A30" s="172" t="s">
        <v>46</v>
      </c>
      <c r="B30" s="334" t="s">
        <v>129</v>
      </c>
      <c r="C30" s="334"/>
      <c r="D30" s="334" t="s">
        <v>130</v>
      </c>
      <c r="E30" s="334"/>
      <c r="F30" s="334" t="s">
        <v>131</v>
      </c>
      <c r="G30" s="334"/>
      <c r="H30" s="334" t="s">
        <v>132</v>
      </c>
      <c r="I30" s="334"/>
      <c r="J30" s="338"/>
      <c r="K30" s="340" t="s">
        <v>133</v>
      </c>
      <c r="L30" s="340"/>
      <c r="M30" s="166"/>
      <c r="N30" s="335" t="s">
        <v>46</v>
      </c>
      <c r="O30" s="336" t="s">
        <v>47</v>
      </c>
      <c r="P30" s="336"/>
      <c r="Q30" s="336"/>
      <c r="R30" s="173"/>
      <c r="S30" s="337" t="s">
        <v>104</v>
      </c>
      <c r="T30" s="337"/>
      <c r="U30" s="163"/>
      <c r="V30" s="163"/>
    </row>
    <row r="31" spans="1:22" s="167" customFormat="1" ht="15.75" customHeight="1">
      <c r="A31" s="174" t="s">
        <v>134</v>
      </c>
      <c r="B31" s="175" t="s">
        <v>135</v>
      </c>
      <c r="C31" s="175" t="s">
        <v>136</v>
      </c>
      <c r="D31" s="175" t="s">
        <v>135</v>
      </c>
      <c r="E31" s="175" t="s">
        <v>136</v>
      </c>
      <c r="F31" s="175" t="s">
        <v>135</v>
      </c>
      <c r="G31" s="175" t="s">
        <v>136</v>
      </c>
      <c r="H31" s="175" t="s">
        <v>135</v>
      </c>
      <c r="I31" s="175" t="s">
        <v>136</v>
      </c>
      <c r="J31" s="176">
        <f>SUM(Reb__Est__por_faixa_etária!D7)</f>
        <v>1216</v>
      </c>
      <c r="K31" s="177" t="s">
        <v>137</v>
      </c>
      <c r="L31" s="177" t="s">
        <v>138</v>
      </c>
      <c r="M31" s="166"/>
      <c r="N31" s="335"/>
      <c r="O31" s="329" t="s">
        <v>54</v>
      </c>
      <c r="P31" s="329" t="s">
        <v>55</v>
      </c>
      <c r="Q31" s="329" t="s">
        <v>56</v>
      </c>
      <c r="R31" s="178"/>
      <c r="S31" s="337" t="s">
        <v>139</v>
      </c>
      <c r="T31" s="337"/>
      <c r="U31" s="163"/>
      <c r="V31" s="163"/>
    </row>
    <row r="32" spans="1:22" s="167" customFormat="1" ht="15.75">
      <c r="A32" s="179" t="s">
        <v>140</v>
      </c>
      <c r="B32" s="180">
        <v>19</v>
      </c>
      <c r="C32" s="180">
        <v>12</v>
      </c>
      <c r="D32" s="180">
        <v>320</v>
      </c>
      <c r="E32" s="180">
        <v>281</v>
      </c>
      <c r="F32" s="180">
        <v>118</v>
      </c>
      <c r="G32" s="180">
        <v>213</v>
      </c>
      <c r="H32" s="180">
        <v>73</v>
      </c>
      <c r="I32" s="180">
        <v>760</v>
      </c>
      <c r="J32" s="179"/>
      <c r="K32" s="181">
        <f>J31*0.6</f>
        <v>729.6000000000001</v>
      </c>
      <c r="L32" s="181">
        <f>J31*0.4</f>
        <v>486.40000000000003</v>
      </c>
      <c r="M32" s="166"/>
      <c r="N32" s="335"/>
      <c r="O32" s="329"/>
      <c r="P32" s="329"/>
      <c r="Q32" s="329"/>
      <c r="R32" s="178"/>
      <c r="S32" s="212">
        <f>S18</f>
        <v>2020</v>
      </c>
      <c r="T32" s="212">
        <f>T18</f>
        <v>2019</v>
      </c>
      <c r="U32" s="163"/>
      <c r="V32" s="163"/>
    </row>
    <row r="33" spans="1:22" s="167" customFormat="1" ht="15.75">
      <c r="A33" s="179" t="s">
        <v>141</v>
      </c>
      <c r="B33" s="180">
        <v>3833</v>
      </c>
      <c r="C33" s="180">
        <v>3259</v>
      </c>
      <c r="D33" s="180">
        <v>610</v>
      </c>
      <c r="E33" s="180">
        <v>1027</v>
      </c>
      <c r="F33" s="180">
        <v>111</v>
      </c>
      <c r="G33" s="180">
        <v>256</v>
      </c>
      <c r="H33" s="180">
        <v>49</v>
      </c>
      <c r="I33" s="180">
        <v>1128</v>
      </c>
      <c r="J33" s="183"/>
      <c r="K33" s="184"/>
      <c r="L33" s="184"/>
      <c r="M33" s="166"/>
      <c r="N33" s="185" t="s">
        <v>67</v>
      </c>
      <c r="O33" s="186">
        <f>SUM(F32,H32,F39,H39)</f>
        <v>418</v>
      </c>
      <c r="P33" s="186">
        <f>SUM(B32,D32,B39,D39,K32)</f>
        <v>1440.6000000000001</v>
      </c>
      <c r="Q33" s="187"/>
      <c r="R33" s="188"/>
      <c r="S33" s="189">
        <f>(O33+P33+O34+P34+O40+P40+O41+P41+Q41+Q40)</f>
        <v>16598.14</v>
      </c>
      <c r="T33" s="213">
        <v>17775</v>
      </c>
      <c r="U33" s="163"/>
      <c r="V33" s="163"/>
    </row>
    <row r="34" spans="1:22" s="167" customFormat="1" ht="15.75">
      <c r="A34" s="179" t="s">
        <v>142</v>
      </c>
      <c r="B34" s="180">
        <v>2</v>
      </c>
      <c r="C34" s="180">
        <v>48</v>
      </c>
      <c r="D34" s="180">
        <v>2</v>
      </c>
      <c r="E34" s="180">
        <v>126</v>
      </c>
      <c r="F34" s="180">
        <v>0</v>
      </c>
      <c r="G34" s="180">
        <v>92</v>
      </c>
      <c r="H34" s="180">
        <v>4</v>
      </c>
      <c r="I34" s="180">
        <v>276</v>
      </c>
      <c r="J34" s="183"/>
      <c r="K34" s="184"/>
      <c r="L34" s="184"/>
      <c r="M34" s="166"/>
      <c r="N34" s="185" t="s">
        <v>69</v>
      </c>
      <c r="O34" s="186">
        <f>SUM(G32,I32,G39,I39)</f>
        <v>1878</v>
      </c>
      <c r="P34" s="186">
        <f>SUM(C32,E32,C39,E39,L32)</f>
        <v>976.4000000000001</v>
      </c>
      <c r="Q34" s="190"/>
      <c r="R34" s="191"/>
      <c r="S34" s="192" t="s">
        <v>143</v>
      </c>
      <c r="T34" s="193">
        <f>S33-T33</f>
        <v>-1176.8600000000006</v>
      </c>
      <c r="U34" s="163"/>
      <c r="V34" s="163"/>
    </row>
    <row r="35" spans="1:22" s="167" customFormat="1" ht="15.75">
      <c r="A35" s="179" t="s">
        <v>144</v>
      </c>
      <c r="B35" s="180">
        <v>10</v>
      </c>
      <c r="C35" s="180">
        <v>30</v>
      </c>
      <c r="D35" s="180">
        <v>10</v>
      </c>
      <c r="E35" s="180">
        <v>40</v>
      </c>
      <c r="F35" s="180">
        <v>0</v>
      </c>
      <c r="G35" s="180">
        <v>4</v>
      </c>
      <c r="H35" s="180">
        <v>0</v>
      </c>
      <c r="I35" s="180">
        <v>10</v>
      </c>
      <c r="J35" s="183"/>
      <c r="K35" s="184"/>
      <c r="L35" s="184"/>
      <c r="M35" s="166"/>
      <c r="O35" s="168"/>
      <c r="P35" s="168"/>
      <c r="Q35" s="168"/>
      <c r="R35" s="169"/>
      <c r="S35" s="194"/>
      <c r="T35" s="195"/>
      <c r="U35" s="163"/>
      <c r="V35" s="163"/>
    </row>
    <row r="36" spans="1:22" s="167" customFormat="1" ht="6" customHeight="1">
      <c r="A36" s="184"/>
      <c r="B36"/>
      <c r="C36"/>
      <c r="D36"/>
      <c r="E36"/>
      <c r="F36"/>
      <c r="G36"/>
      <c r="H36"/>
      <c r="I36"/>
      <c r="J36" s="184"/>
      <c r="K36" s="184"/>
      <c r="L36" s="184"/>
      <c r="M36" s="166"/>
      <c r="O36" s="168"/>
      <c r="P36" s="168"/>
      <c r="Q36" s="168"/>
      <c r="R36" s="169"/>
      <c r="S36" s="194"/>
      <c r="T36" s="195"/>
      <c r="U36" s="163"/>
      <c r="V36" s="163"/>
    </row>
    <row r="37" spans="1:22" s="167" customFormat="1" ht="15.75">
      <c r="A37" s="172" t="s">
        <v>46</v>
      </c>
      <c r="B37" s="333" t="s">
        <v>129</v>
      </c>
      <c r="C37" s="333"/>
      <c r="D37" s="333" t="s">
        <v>130</v>
      </c>
      <c r="E37" s="333"/>
      <c r="F37" s="334" t="s">
        <v>131</v>
      </c>
      <c r="G37" s="334"/>
      <c r="H37" s="334" t="s">
        <v>132</v>
      </c>
      <c r="I37" s="334"/>
      <c r="J37" s="196"/>
      <c r="K37" s="196"/>
      <c r="L37" s="196"/>
      <c r="M37" s="166"/>
      <c r="N37" s="335" t="s">
        <v>46</v>
      </c>
      <c r="O37" s="336" t="s">
        <v>145</v>
      </c>
      <c r="P37" s="336"/>
      <c r="Q37" s="336"/>
      <c r="R37" s="173"/>
      <c r="S37" s="328">
        <v>2019</v>
      </c>
      <c r="T37" s="328"/>
      <c r="U37" s="163"/>
      <c r="V37" s="163"/>
    </row>
    <row r="38" spans="1:22" s="167" customFormat="1" ht="13.5" customHeight="1">
      <c r="A38" s="174" t="s">
        <v>146</v>
      </c>
      <c r="B38" s="197" t="s">
        <v>135</v>
      </c>
      <c r="C38" s="197" t="s">
        <v>136</v>
      </c>
      <c r="D38" s="197" t="s">
        <v>135</v>
      </c>
      <c r="E38" s="197" t="s">
        <v>136</v>
      </c>
      <c r="F38" s="175" t="s">
        <v>135</v>
      </c>
      <c r="G38" s="175" t="s">
        <v>136</v>
      </c>
      <c r="H38" s="175" t="s">
        <v>135</v>
      </c>
      <c r="I38" s="175" t="s">
        <v>136</v>
      </c>
      <c r="J38" s="196"/>
      <c r="K38" s="196"/>
      <c r="L38" s="196"/>
      <c r="M38" s="166"/>
      <c r="N38" s="335"/>
      <c r="O38" s="329" t="s">
        <v>57</v>
      </c>
      <c r="P38" s="330" t="s">
        <v>147</v>
      </c>
      <c r="Q38" s="330" t="s">
        <v>59</v>
      </c>
      <c r="R38" s="198"/>
      <c r="S38" s="331" t="s">
        <v>57</v>
      </c>
      <c r="T38" s="332" t="s">
        <v>147</v>
      </c>
      <c r="U38" s="163"/>
      <c r="V38" s="163"/>
    </row>
    <row r="39" spans="1:22" s="167" customFormat="1" ht="15.75">
      <c r="A39" s="200" t="s">
        <v>140</v>
      </c>
      <c r="B39" s="180">
        <v>82</v>
      </c>
      <c r="C39" s="180">
        <v>13</v>
      </c>
      <c r="D39" s="180">
        <v>290</v>
      </c>
      <c r="E39" s="180">
        <v>184</v>
      </c>
      <c r="F39" s="180">
        <v>164</v>
      </c>
      <c r="G39" s="180">
        <v>129</v>
      </c>
      <c r="H39" s="180">
        <v>63</v>
      </c>
      <c r="I39" s="180">
        <v>776</v>
      </c>
      <c r="J39" s="183"/>
      <c r="K39" s="184"/>
      <c r="L39" s="184"/>
      <c r="M39" s="166"/>
      <c r="N39" s="335"/>
      <c r="O39" s="329"/>
      <c r="P39" s="329"/>
      <c r="Q39" s="330"/>
      <c r="R39" s="198"/>
      <c r="S39" s="331"/>
      <c r="T39" s="331"/>
      <c r="U39" s="163"/>
      <c r="V39" s="163"/>
    </row>
    <row r="40" spans="1:24" s="167" customFormat="1" ht="15.75">
      <c r="A40" s="200" t="s">
        <v>141</v>
      </c>
      <c r="B40" s="180">
        <v>1120</v>
      </c>
      <c r="C40" s="180">
        <v>915</v>
      </c>
      <c r="D40" s="180">
        <v>463</v>
      </c>
      <c r="E40" s="180">
        <v>497</v>
      </c>
      <c r="F40" s="180">
        <v>110</v>
      </c>
      <c r="G40" s="180">
        <v>202</v>
      </c>
      <c r="H40" s="180">
        <v>56</v>
      </c>
      <c r="I40" s="180">
        <v>1234</v>
      </c>
      <c r="J40" s="183"/>
      <c r="K40" s="184"/>
      <c r="L40" s="184"/>
      <c r="M40" s="166"/>
      <c r="N40" s="201" t="s">
        <v>67</v>
      </c>
      <c r="O40" s="202">
        <f>SUM(B33,B34,B35,B40,B41)*0.68</f>
        <v>3388.44</v>
      </c>
      <c r="P40" s="202">
        <f>SUM(D33,F33,H33,D35,F35,H35,D40,F40,H40)*0.9</f>
        <v>1268.1000000000001</v>
      </c>
      <c r="Q40" s="202">
        <f>SUM(D34,F34,H34,D41,F41,H41)*0.8</f>
        <v>8</v>
      </c>
      <c r="R40" s="191"/>
      <c r="S40" s="203">
        <v>4136</v>
      </c>
      <c r="T40" s="204">
        <v>1580</v>
      </c>
      <c r="U40" s="205">
        <f>O40/S40*1-1</f>
        <v>-0.18074468085106377</v>
      </c>
      <c r="V40" s="205">
        <f>P40/T40*1-1</f>
        <v>-0.19740506329113916</v>
      </c>
      <c r="W40" s="206">
        <f>O40-S40</f>
        <v>-747.56</v>
      </c>
      <c r="X40" s="206">
        <f>P40-T40</f>
        <v>-311.89999999999986</v>
      </c>
    </row>
    <row r="41" spans="1:24" s="167" customFormat="1" ht="15.75">
      <c r="A41" s="200" t="s">
        <v>142</v>
      </c>
      <c r="B41" s="180">
        <v>18</v>
      </c>
      <c r="C41" s="180">
        <v>48</v>
      </c>
      <c r="D41" s="180">
        <v>0</v>
      </c>
      <c r="E41" s="180">
        <v>83</v>
      </c>
      <c r="F41" s="180">
        <v>1</v>
      </c>
      <c r="G41" s="180">
        <v>169</v>
      </c>
      <c r="H41" s="180">
        <v>3</v>
      </c>
      <c r="I41" s="180">
        <v>564</v>
      </c>
      <c r="J41" s="183"/>
      <c r="K41" s="184"/>
      <c r="L41" s="184"/>
      <c r="M41" s="166"/>
      <c r="N41" s="201" t="s">
        <v>69</v>
      </c>
      <c r="O41" s="202">
        <f>SUM(C33,C34,C35,C40,C41)*0.75</f>
        <v>3225</v>
      </c>
      <c r="P41" s="202">
        <f>SUM(E33,G33,I33,E34,E35,G35,I35,E40,G40,I40,E41)*0.7</f>
        <v>3224.8999999999996</v>
      </c>
      <c r="Q41" s="202">
        <f>SUM(G34,I34,G41,I41)*0.7</f>
        <v>770.6999999999999</v>
      </c>
      <c r="R41" s="191"/>
      <c r="S41" s="207">
        <v>4002</v>
      </c>
      <c r="T41" s="207">
        <v>4038</v>
      </c>
      <c r="U41" s="205">
        <f>O41/S41*1-1</f>
        <v>-0.19415292353823088</v>
      </c>
      <c r="V41" s="205">
        <f>P41/T41*1-1</f>
        <v>-0.2013620604259535</v>
      </c>
      <c r="W41" s="206">
        <f>O41-S41</f>
        <v>-777</v>
      </c>
      <c r="X41" s="206">
        <f>P41-T41</f>
        <v>-813.1000000000004</v>
      </c>
    </row>
    <row r="42" spans="1:20" ht="15.75">
      <c r="A42" s="208"/>
      <c r="J42" s="208"/>
      <c r="K42" s="208"/>
      <c r="L42" s="208"/>
      <c r="M42" s="209"/>
      <c r="N42" s="208"/>
      <c r="O42" s="208"/>
      <c r="P42" s="208"/>
      <c r="Q42" s="208"/>
      <c r="R42" s="208"/>
      <c r="S42" s="210"/>
      <c r="T42" s="211"/>
    </row>
    <row r="43" spans="1:22" s="167" customFormat="1" ht="16.5" customHeight="1">
      <c r="A43" s="215" t="s">
        <v>149</v>
      </c>
      <c r="B43" s="165"/>
      <c r="C43" s="165"/>
      <c r="D43" s="165"/>
      <c r="E43" s="165"/>
      <c r="F43" s="165"/>
      <c r="G43" s="165"/>
      <c r="H43" s="165"/>
      <c r="I43" s="165"/>
      <c r="J43" s="338" t="s">
        <v>127</v>
      </c>
      <c r="K43" s="339" t="s">
        <v>128</v>
      </c>
      <c r="L43" s="339"/>
      <c r="M43" s="166"/>
      <c r="O43" s="168"/>
      <c r="P43" s="168"/>
      <c r="Q43" s="168"/>
      <c r="R43" s="169"/>
      <c r="S43" s="170"/>
      <c r="T43" s="171"/>
      <c r="U43" s="163"/>
      <c r="V43" s="163"/>
    </row>
    <row r="44" spans="1:22" s="167" customFormat="1" ht="14.25" customHeight="1">
      <c r="A44" s="172" t="s">
        <v>46</v>
      </c>
      <c r="B44" s="334" t="s">
        <v>129</v>
      </c>
      <c r="C44" s="334"/>
      <c r="D44" s="334" t="s">
        <v>130</v>
      </c>
      <c r="E44" s="334"/>
      <c r="F44" s="334" t="s">
        <v>131</v>
      </c>
      <c r="G44" s="334"/>
      <c r="H44" s="334" t="s">
        <v>132</v>
      </c>
      <c r="I44" s="334"/>
      <c r="J44" s="338"/>
      <c r="K44" s="340" t="s">
        <v>133</v>
      </c>
      <c r="L44" s="340"/>
      <c r="M44" s="166"/>
      <c r="N44" s="335" t="s">
        <v>46</v>
      </c>
      <c r="O44" s="336" t="s">
        <v>47</v>
      </c>
      <c r="P44" s="336"/>
      <c r="Q44" s="336"/>
      <c r="R44" s="173"/>
      <c r="S44" s="337" t="s">
        <v>104</v>
      </c>
      <c r="T44" s="337"/>
      <c r="U44" s="163"/>
      <c r="V44" s="163"/>
    </row>
    <row r="45" spans="1:22" s="167" customFormat="1" ht="15.75" customHeight="1">
      <c r="A45" s="174" t="s">
        <v>134</v>
      </c>
      <c r="B45" s="175" t="s">
        <v>135</v>
      </c>
      <c r="C45" s="175" t="s">
        <v>136</v>
      </c>
      <c r="D45" s="175" t="s">
        <v>135</v>
      </c>
      <c r="E45" s="175" t="s">
        <v>136</v>
      </c>
      <c r="F45" s="175" t="s">
        <v>135</v>
      </c>
      <c r="G45" s="175" t="s">
        <v>136</v>
      </c>
      <c r="H45" s="175" t="s">
        <v>135</v>
      </c>
      <c r="I45" s="175" t="s">
        <v>136</v>
      </c>
      <c r="J45" s="176">
        <f>SUM(Reb__Est__por_faixa_etária!D8)</f>
        <v>736</v>
      </c>
      <c r="K45" s="177" t="s">
        <v>137</v>
      </c>
      <c r="L45" s="177" t="s">
        <v>138</v>
      </c>
      <c r="M45" s="166"/>
      <c r="N45" s="335"/>
      <c r="O45" s="329" t="s">
        <v>54</v>
      </c>
      <c r="P45" s="329" t="s">
        <v>55</v>
      </c>
      <c r="Q45" s="329" t="s">
        <v>56</v>
      </c>
      <c r="R45" s="178"/>
      <c r="S45" s="337" t="s">
        <v>139</v>
      </c>
      <c r="T45" s="337"/>
      <c r="U45" s="163"/>
      <c r="V45" s="163"/>
    </row>
    <row r="46" spans="1:22" s="167" customFormat="1" ht="15.75">
      <c r="A46" s="179" t="s">
        <v>140</v>
      </c>
      <c r="B46" s="180">
        <v>115</v>
      </c>
      <c r="C46" s="180">
        <v>40</v>
      </c>
      <c r="D46" s="180">
        <v>238</v>
      </c>
      <c r="E46" s="180">
        <v>110</v>
      </c>
      <c r="F46" s="180">
        <v>682</v>
      </c>
      <c r="G46" s="180">
        <v>101</v>
      </c>
      <c r="H46" s="180">
        <v>50</v>
      </c>
      <c r="I46" s="180">
        <v>499</v>
      </c>
      <c r="J46" s="179"/>
      <c r="K46" s="181">
        <f>J45*0.6</f>
        <v>441.6000000000001</v>
      </c>
      <c r="L46" s="181">
        <f>J45*0.4</f>
        <v>294.40000000000003</v>
      </c>
      <c r="M46" s="166"/>
      <c r="N46" s="335"/>
      <c r="O46" s="329"/>
      <c r="P46" s="329"/>
      <c r="Q46" s="329"/>
      <c r="R46" s="178"/>
      <c r="S46" s="212">
        <f>S32</f>
        <v>2020</v>
      </c>
      <c r="T46" s="212">
        <f>T32</f>
        <v>2019</v>
      </c>
      <c r="U46" s="163"/>
      <c r="V46" s="163"/>
    </row>
    <row r="47" spans="1:22" s="167" customFormat="1" ht="15.75">
      <c r="A47" s="179" t="s">
        <v>141</v>
      </c>
      <c r="B47" s="180">
        <v>886</v>
      </c>
      <c r="C47" s="180">
        <v>944</v>
      </c>
      <c r="D47" s="180">
        <v>180</v>
      </c>
      <c r="E47" s="180">
        <v>428</v>
      </c>
      <c r="F47" s="180">
        <v>39</v>
      </c>
      <c r="G47" s="180">
        <v>279</v>
      </c>
      <c r="H47" s="180">
        <v>54</v>
      </c>
      <c r="I47" s="180">
        <v>1681</v>
      </c>
      <c r="J47" s="183"/>
      <c r="K47" s="184"/>
      <c r="L47" s="184"/>
      <c r="M47" s="166"/>
      <c r="N47" s="185" t="s">
        <v>67</v>
      </c>
      <c r="O47" s="186">
        <f>SUM(F46,H46,F53,H53)</f>
        <v>732</v>
      </c>
      <c r="P47" s="186">
        <f>SUM(B46,D46,B53,D53,K46)</f>
        <v>794.6000000000001</v>
      </c>
      <c r="Q47" s="187"/>
      <c r="R47" s="188"/>
      <c r="S47" s="189">
        <f>(O47+P47+O48+P48+O54+P54+O55+P55+Q55+Q54)</f>
        <v>8511.35</v>
      </c>
      <c r="T47" s="213">
        <v>8387</v>
      </c>
      <c r="U47" s="163"/>
      <c r="V47" s="163"/>
    </row>
    <row r="48" spans="1:22" s="167" customFormat="1" ht="15.75">
      <c r="A48" s="179" t="s">
        <v>142</v>
      </c>
      <c r="B48" s="180">
        <v>0</v>
      </c>
      <c r="C48" s="180">
        <v>11</v>
      </c>
      <c r="D48" s="180">
        <v>0</v>
      </c>
      <c r="E48" s="180">
        <v>31</v>
      </c>
      <c r="F48" s="180">
        <v>0</v>
      </c>
      <c r="G48" s="180">
        <v>75</v>
      </c>
      <c r="H48" s="180">
        <v>0</v>
      </c>
      <c r="I48" s="180">
        <v>193</v>
      </c>
      <c r="J48" s="183"/>
      <c r="K48" s="184"/>
      <c r="L48" s="184"/>
      <c r="M48" s="166"/>
      <c r="N48" s="185" t="s">
        <v>69</v>
      </c>
      <c r="O48" s="186">
        <f>SUM(G46,I46,G53,I53)</f>
        <v>600</v>
      </c>
      <c r="P48" s="186">
        <f>SUM(C46,E46,C53,E53,L46)</f>
        <v>444.40000000000003</v>
      </c>
      <c r="Q48" s="190"/>
      <c r="R48" s="191"/>
      <c r="S48" s="192" t="s">
        <v>143</v>
      </c>
      <c r="T48" s="193">
        <f>S47-T47</f>
        <v>124.35000000000036</v>
      </c>
      <c r="U48" s="163"/>
      <c r="V48" s="163"/>
    </row>
    <row r="49" spans="1:22" s="167" customFormat="1" ht="15.75">
      <c r="A49" s="179" t="s">
        <v>144</v>
      </c>
      <c r="B49" s="180">
        <v>1</v>
      </c>
      <c r="C49" s="180">
        <v>0</v>
      </c>
      <c r="D49" s="180">
        <v>1</v>
      </c>
      <c r="E49" s="180">
        <v>0</v>
      </c>
      <c r="F49" s="180">
        <v>0</v>
      </c>
      <c r="G49" s="180">
        <v>2</v>
      </c>
      <c r="H49" s="180">
        <v>2</v>
      </c>
      <c r="I49" s="180">
        <v>1</v>
      </c>
      <c r="J49" s="183"/>
      <c r="K49" s="184"/>
      <c r="L49" s="184"/>
      <c r="M49" s="166"/>
      <c r="O49" s="168"/>
      <c r="P49" s="168"/>
      <c r="Q49" s="168"/>
      <c r="R49" s="169"/>
      <c r="S49" s="194"/>
      <c r="T49" s="195"/>
      <c r="U49" s="163"/>
      <c r="V49" s="163"/>
    </row>
    <row r="50" spans="1:22" s="167" customFormat="1" ht="6" customHeight="1">
      <c r="A50" s="184"/>
      <c r="B50"/>
      <c r="C50"/>
      <c r="D50"/>
      <c r="E50"/>
      <c r="F50"/>
      <c r="G50"/>
      <c r="H50"/>
      <c r="I50"/>
      <c r="J50" s="184"/>
      <c r="K50" s="184"/>
      <c r="L50" s="184"/>
      <c r="M50" s="166"/>
      <c r="O50" s="168"/>
      <c r="P50" s="168"/>
      <c r="Q50" s="168"/>
      <c r="R50" s="169"/>
      <c r="S50" s="194"/>
      <c r="T50" s="195"/>
      <c r="U50" s="163"/>
      <c r="V50" s="163"/>
    </row>
    <row r="51" spans="1:22" s="167" customFormat="1" ht="15.75">
      <c r="A51" s="172" t="s">
        <v>46</v>
      </c>
      <c r="B51" s="333" t="s">
        <v>129</v>
      </c>
      <c r="C51" s="333"/>
      <c r="D51" s="333" t="s">
        <v>130</v>
      </c>
      <c r="E51" s="333"/>
      <c r="F51" s="334" t="s">
        <v>131</v>
      </c>
      <c r="G51" s="334"/>
      <c r="H51" s="334" t="s">
        <v>132</v>
      </c>
      <c r="I51" s="334"/>
      <c r="J51" s="196"/>
      <c r="K51" s="196"/>
      <c r="L51" s="196"/>
      <c r="M51" s="166"/>
      <c r="N51" s="335" t="s">
        <v>46</v>
      </c>
      <c r="O51" s="336" t="s">
        <v>145</v>
      </c>
      <c r="P51" s="336"/>
      <c r="Q51" s="336"/>
      <c r="R51" s="173"/>
      <c r="S51" s="328">
        <v>2019</v>
      </c>
      <c r="T51" s="328"/>
      <c r="U51" s="163"/>
      <c r="V51" s="163"/>
    </row>
    <row r="52" spans="1:22" s="167" customFormat="1" ht="13.5" customHeight="1">
      <c r="A52" s="174" t="s">
        <v>146</v>
      </c>
      <c r="B52" s="197" t="s">
        <v>135</v>
      </c>
      <c r="C52" s="197" t="s">
        <v>136</v>
      </c>
      <c r="D52" s="197" t="s">
        <v>135</v>
      </c>
      <c r="E52" s="197" t="s">
        <v>136</v>
      </c>
      <c r="F52" s="175" t="s">
        <v>135</v>
      </c>
      <c r="G52" s="175" t="s">
        <v>136</v>
      </c>
      <c r="H52" s="175" t="s">
        <v>135</v>
      </c>
      <c r="I52" s="175" t="s">
        <v>136</v>
      </c>
      <c r="J52" s="196"/>
      <c r="K52" s="196"/>
      <c r="L52" s="196"/>
      <c r="M52" s="166"/>
      <c r="N52" s="335"/>
      <c r="O52" s="329" t="s">
        <v>57</v>
      </c>
      <c r="P52" s="330" t="s">
        <v>147</v>
      </c>
      <c r="Q52" s="330" t="s">
        <v>59</v>
      </c>
      <c r="R52" s="198"/>
      <c r="S52" s="331" t="s">
        <v>57</v>
      </c>
      <c r="T52" s="332" t="s">
        <v>147</v>
      </c>
      <c r="U52" s="163"/>
      <c r="V52" s="163"/>
    </row>
    <row r="53" spans="1:22" s="167" customFormat="1" ht="15.75">
      <c r="A53" s="179" t="s">
        <v>140</v>
      </c>
      <c r="B53" s="216"/>
      <c r="C53" s="216"/>
      <c r="D53" s="216"/>
      <c r="E53" s="216"/>
      <c r="F53" s="217"/>
      <c r="G53" s="217"/>
      <c r="H53" s="217"/>
      <c r="I53" s="217"/>
      <c r="J53" s="183"/>
      <c r="K53" s="184"/>
      <c r="L53" s="184"/>
      <c r="M53" s="166"/>
      <c r="N53" s="335"/>
      <c r="O53" s="329"/>
      <c r="P53" s="329"/>
      <c r="Q53" s="330"/>
      <c r="R53" s="198"/>
      <c r="S53" s="331"/>
      <c r="T53" s="331"/>
      <c r="U53" s="163"/>
      <c r="V53" s="163"/>
    </row>
    <row r="54" spans="1:24" s="167" customFormat="1" ht="15.75">
      <c r="A54" s="200" t="s">
        <v>141</v>
      </c>
      <c r="B54" s="180">
        <v>399</v>
      </c>
      <c r="C54" s="180">
        <v>317</v>
      </c>
      <c r="D54" s="180">
        <v>187</v>
      </c>
      <c r="E54" s="180">
        <v>193</v>
      </c>
      <c r="F54" s="180">
        <v>565</v>
      </c>
      <c r="G54" s="180">
        <v>304</v>
      </c>
      <c r="H54" s="180">
        <v>65</v>
      </c>
      <c r="I54" s="180">
        <v>1390</v>
      </c>
      <c r="J54" s="183"/>
      <c r="K54" s="184"/>
      <c r="L54" s="184"/>
      <c r="M54" s="166"/>
      <c r="N54" s="201" t="s">
        <v>67</v>
      </c>
      <c r="O54" s="202">
        <f>SUM(B47,B48,B49,B54,B55)*0.7</f>
        <v>900.1999999999999</v>
      </c>
      <c r="P54" s="202">
        <f>SUM(D47,F47,H47,D49,F49,H49,D54,F54,H54)*0.45</f>
        <v>491.85</v>
      </c>
      <c r="Q54" s="202">
        <f>SUM(D48,F48,H48,D55,F55,H55)</f>
        <v>0</v>
      </c>
      <c r="R54" s="191"/>
      <c r="S54" s="203">
        <v>1108</v>
      </c>
      <c r="T54" s="204">
        <v>626</v>
      </c>
      <c r="U54" s="205">
        <f>O54/S54*1-1</f>
        <v>-0.18754512635379073</v>
      </c>
      <c r="V54" s="205">
        <f>P54/T54*1-1</f>
        <v>-0.214297124600639</v>
      </c>
      <c r="W54" s="206">
        <f>O54-S54</f>
        <v>-207.80000000000007</v>
      </c>
      <c r="X54" s="206">
        <f>P54-T54</f>
        <v>-134.14999999999998</v>
      </c>
    </row>
    <row r="55" spans="1:24" s="167" customFormat="1" ht="15.75">
      <c r="A55" s="200" t="s">
        <v>142</v>
      </c>
      <c r="B55" s="180">
        <v>0</v>
      </c>
      <c r="C55" s="180">
        <v>0</v>
      </c>
      <c r="D55" s="180">
        <v>0</v>
      </c>
      <c r="E55" s="180">
        <v>76</v>
      </c>
      <c r="F55" s="180">
        <v>0</v>
      </c>
      <c r="G55" s="180">
        <v>151</v>
      </c>
      <c r="H55" s="180">
        <v>0</v>
      </c>
      <c r="I55" s="180">
        <v>478</v>
      </c>
      <c r="J55" s="183"/>
      <c r="K55" s="184"/>
      <c r="L55" s="184"/>
      <c r="M55" s="166"/>
      <c r="N55" s="201" t="s">
        <v>69</v>
      </c>
      <c r="O55" s="202">
        <f>SUM(C47,C48,C49,C54,C55)*0.6</f>
        <v>763.1999999999999</v>
      </c>
      <c r="P55" s="202">
        <f>SUM(E47,G47,I47,E48,E49,G49,I49,E54,G54,I54,E55)*0.72</f>
        <v>3157.2</v>
      </c>
      <c r="Q55" s="202">
        <f>SUM(G48,I48,G55,I55)*0.7</f>
        <v>627.9</v>
      </c>
      <c r="R55" s="191"/>
      <c r="S55" s="207">
        <v>933</v>
      </c>
      <c r="T55" s="207">
        <v>3952</v>
      </c>
      <c r="U55" s="205">
        <f>O55/S55*1-1</f>
        <v>-0.18199356913183284</v>
      </c>
      <c r="V55" s="205">
        <f>P55/T55*1-1</f>
        <v>-0.20111336032388671</v>
      </c>
      <c r="W55" s="206">
        <f>O55-S55</f>
        <v>-169.80000000000007</v>
      </c>
      <c r="X55" s="206">
        <f>P55-T55</f>
        <v>-794.8000000000002</v>
      </c>
    </row>
    <row r="56" spans="1:20" ht="15.75">
      <c r="A56" s="208"/>
      <c r="J56" s="208"/>
      <c r="K56" s="208"/>
      <c r="L56" s="208"/>
      <c r="M56" s="209"/>
      <c r="N56" s="208"/>
      <c r="O56" s="208"/>
      <c r="P56" s="208"/>
      <c r="Q56" s="208"/>
      <c r="R56" s="208"/>
      <c r="S56" s="210"/>
      <c r="T56" s="211"/>
    </row>
    <row r="57" spans="1:22" s="167" customFormat="1" ht="16.5" customHeight="1">
      <c r="A57" s="215" t="s">
        <v>150</v>
      </c>
      <c r="B57" s="165"/>
      <c r="C57" s="165"/>
      <c r="D57" s="165"/>
      <c r="E57" s="165"/>
      <c r="F57" s="165"/>
      <c r="G57" s="165"/>
      <c r="H57" s="165"/>
      <c r="I57" s="165"/>
      <c r="J57" s="338" t="s">
        <v>127</v>
      </c>
      <c r="K57" s="339" t="s">
        <v>128</v>
      </c>
      <c r="L57" s="339"/>
      <c r="M57" s="166"/>
      <c r="O57" s="168"/>
      <c r="P57" s="168"/>
      <c r="Q57" s="168"/>
      <c r="R57" s="169"/>
      <c r="S57" s="170"/>
      <c r="T57" s="171"/>
      <c r="U57" s="163"/>
      <c r="V57" s="163"/>
    </row>
    <row r="58" spans="1:22" s="167" customFormat="1" ht="14.25" customHeight="1">
      <c r="A58" s="172" t="s">
        <v>46</v>
      </c>
      <c r="B58" s="334" t="s">
        <v>129</v>
      </c>
      <c r="C58" s="334"/>
      <c r="D58" s="334" t="s">
        <v>130</v>
      </c>
      <c r="E58" s="334"/>
      <c r="F58" s="334" t="s">
        <v>131</v>
      </c>
      <c r="G58" s="334"/>
      <c r="H58" s="334" t="s">
        <v>132</v>
      </c>
      <c r="I58" s="334"/>
      <c r="J58" s="338"/>
      <c r="K58" s="340" t="s">
        <v>133</v>
      </c>
      <c r="L58" s="340"/>
      <c r="M58" s="166"/>
      <c r="N58" s="335" t="s">
        <v>46</v>
      </c>
      <c r="O58" s="336" t="s">
        <v>47</v>
      </c>
      <c r="P58" s="336"/>
      <c r="Q58" s="336"/>
      <c r="R58" s="173"/>
      <c r="S58" s="337" t="s">
        <v>104</v>
      </c>
      <c r="T58" s="337"/>
      <c r="U58" s="163"/>
      <c r="V58" s="163"/>
    </row>
    <row r="59" spans="1:22" s="167" customFormat="1" ht="15.75" customHeight="1">
      <c r="A59" s="174" t="s">
        <v>134</v>
      </c>
      <c r="B59" s="175" t="s">
        <v>135</v>
      </c>
      <c r="C59" s="175" t="s">
        <v>136</v>
      </c>
      <c r="D59" s="175" t="s">
        <v>135</v>
      </c>
      <c r="E59" s="175" t="s">
        <v>136</v>
      </c>
      <c r="F59" s="175" t="s">
        <v>135</v>
      </c>
      <c r="G59" s="175" t="s">
        <v>136</v>
      </c>
      <c r="H59" s="175" t="s">
        <v>135</v>
      </c>
      <c r="I59" s="175" t="s">
        <v>136</v>
      </c>
      <c r="J59" s="176">
        <f>SUM(Reb__Est__por_faixa_etária!D9)</f>
        <v>759</v>
      </c>
      <c r="K59" s="177" t="s">
        <v>137</v>
      </c>
      <c r="L59" s="177" t="s">
        <v>138</v>
      </c>
      <c r="M59" s="166"/>
      <c r="N59" s="335"/>
      <c r="O59" s="329" t="s">
        <v>54</v>
      </c>
      <c r="P59" s="329" t="s">
        <v>55</v>
      </c>
      <c r="Q59" s="329" t="s">
        <v>56</v>
      </c>
      <c r="R59" s="178"/>
      <c r="S59" s="337" t="s">
        <v>139</v>
      </c>
      <c r="T59" s="337"/>
      <c r="U59" s="163"/>
      <c r="V59" s="163"/>
    </row>
    <row r="60" spans="1:22" s="167" customFormat="1" ht="15.75">
      <c r="A60" s="179" t="s">
        <v>140</v>
      </c>
      <c r="B60" s="180">
        <v>291</v>
      </c>
      <c r="C60" s="180">
        <v>190</v>
      </c>
      <c r="D60" s="180">
        <v>1130</v>
      </c>
      <c r="E60" s="180">
        <v>1513</v>
      </c>
      <c r="F60" s="180">
        <v>823</v>
      </c>
      <c r="G60" s="180">
        <v>549</v>
      </c>
      <c r="H60" s="180">
        <v>249</v>
      </c>
      <c r="I60" s="180">
        <v>1634</v>
      </c>
      <c r="J60" s="179"/>
      <c r="K60" s="181">
        <f>J59*0.6</f>
        <v>455.4000000000001</v>
      </c>
      <c r="L60" s="181">
        <f>J59*0.4</f>
        <v>303.6</v>
      </c>
      <c r="M60" s="166"/>
      <c r="N60" s="335"/>
      <c r="O60" s="329"/>
      <c r="P60" s="329"/>
      <c r="Q60" s="329"/>
      <c r="R60" s="178"/>
      <c r="S60" s="212">
        <f>S46</f>
        <v>2020</v>
      </c>
      <c r="T60" s="212">
        <f>T46</f>
        <v>2019</v>
      </c>
      <c r="U60" s="163"/>
      <c r="V60" s="163"/>
    </row>
    <row r="61" spans="1:22" s="167" customFormat="1" ht="15.75">
      <c r="A61" s="179" t="s">
        <v>141</v>
      </c>
      <c r="B61" s="180">
        <v>2469</v>
      </c>
      <c r="C61" s="180">
        <v>1895</v>
      </c>
      <c r="D61" s="180">
        <v>1196</v>
      </c>
      <c r="E61" s="180">
        <v>962</v>
      </c>
      <c r="F61" s="180">
        <v>651</v>
      </c>
      <c r="G61" s="180">
        <v>500</v>
      </c>
      <c r="H61" s="180">
        <v>478</v>
      </c>
      <c r="I61" s="180">
        <v>2168</v>
      </c>
      <c r="J61" s="183"/>
      <c r="K61" s="184"/>
      <c r="L61" s="184"/>
      <c r="M61" s="166"/>
      <c r="N61" s="185" t="s">
        <v>67</v>
      </c>
      <c r="O61" s="186">
        <f>SUM(F60,H60,F67,H67)</f>
        <v>1072</v>
      </c>
      <c r="P61" s="186">
        <f>SUM(B60,D60,B67,D67,K60)</f>
        <v>1876.4</v>
      </c>
      <c r="Q61" s="187"/>
      <c r="R61" s="188"/>
      <c r="S61" s="189">
        <f>(O61+P61+O62+P62+O68+P68+O69+P69+Q69+Q68)</f>
        <v>21508.58</v>
      </c>
      <c r="T61" s="213">
        <v>23730</v>
      </c>
      <c r="U61" s="163"/>
      <c r="V61" s="163"/>
    </row>
    <row r="62" spans="1:22" s="167" customFormat="1" ht="15.75">
      <c r="A62" s="179" t="s">
        <v>142</v>
      </c>
      <c r="B62" s="180">
        <v>1</v>
      </c>
      <c r="C62" s="180">
        <v>15</v>
      </c>
      <c r="D62" s="180">
        <v>20</v>
      </c>
      <c r="E62" s="180">
        <v>64</v>
      </c>
      <c r="F62" s="180">
        <v>0</v>
      </c>
      <c r="G62" s="180">
        <v>401</v>
      </c>
      <c r="H62" s="180">
        <v>0</v>
      </c>
      <c r="I62" s="180">
        <v>367</v>
      </c>
      <c r="J62" s="183"/>
      <c r="K62" s="184"/>
      <c r="L62" s="184"/>
      <c r="M62" s="166"/>
      <c r="N62" s="185" t="s">
        <v>69</v>
      </c>
      <c r="O62" s="186">
        <f>SUM(G60,I60,G67,I67)</f>
        <v>2183</v>
      </c>
      <c r="P62" s="186">
        <f>SUM(C60,E60,C67,E67,L60)</f>
        <v>2006.6</v>
      </c>
      <c r="Q62" s="190"/>
      <c r="R62" s="191"/>
      <c r="S62" s="192" t="s">
        <v>143</v>
      </c>
      <c r="T62" s="193">
        <f>S61-T61</f>
        <v>-2221.4199999999983</v>
      </c>
      <c r="U62" s="163"/>
      <c r="V62" s="163"/>
    </row>
    <row r="63" spans="1:22" s="167" customFormat="1" ht="15.75">
      <c r="A63" s="179" t="s">
        <v>144</v>
      </c>
      <c r="B63" s="180">
        <v>85</v>
      </c>
      <c r="C63" s="180">
        <v>65</v>
      </c>
      <c r="D63" s="180">
        <v>83</v>
      </c>
      <c r="E63" s="180">
        <v>96</v>
      </c>
      <c r="F63" s="180">
        <v>2</v>
      </c>
      <c r="G63" s="180">
        <v>0</v>
      </c>
      <c r="H63" s="180">
        <v>0</v>
      </c>
      <c r="I63" s="180">
        <v>0</v>
      </c>
      <c r="J63" s="183"/>
      <c r="K63" s="184"/>
      <c r="L63" s="184"/>
      <c r="M63" s="166"/>
      <c r="O63" s="168"/>
      <c r="P63" s="168"/>
      <c r="Q63" s="168"/>
      <c r="R63" s="169"/>
      <c r="S63" s="194"/>
      <c r="T63" s="195"/>
      <c r="U63" s="163"/>
      <c r="V63" s="163"/>
    </row>
    <row r="64" spans="1:22" s="167" customFormat="1" ht="6" customHeight="1">
      <c r="A64" s="184"/>
      <c r="B64"/>
      <c r="C64"/>
      <c r="D64"/>
      <c r="E64"/>
      <c r="F64"/>
      <c r="G64"/>
      <c r="H64"/>
      <c r="I64"/>
      <c r="J64" s="184"/>
      <c r="K64" s="184"/>
      <c r="L64" s="184"/>
      <c r="M64" s="166"/>
      <c r="O64" s="168"/>
      <c r="P64" s="168"/>
      <c r="Q64" s="168"/>
      <c r="R64" s="169"/>
      <c r="S64" s="194"/>
      <c r="T64" s="195"/>
      <c r="U64" s="163"/>
      <c r="V64" s="163"/>
    </row>
    <row r="65" spans="1:22" s="167" customFormat="1" ht="15.75">
      <c r="A65" s="172" t="s">
        <v>46</v>
      </c>
      <c r="B65" s="333" t="s">
        <v>129</v>
      </c>
      <c r="C65" s="333"/>
      <c r="D65" s="333" t="s">
        <v>130</v>
      </c>
      <c r="E65" s="333"/>
      <c r="F65" s="334" t="s">
        <v>131</v>
      </c>
      <c r="G65" s="334"/>
      <c r="H65" s="334" t="s">
        <v>132</v>
      </c>
      <c r="I65" s="334"/>
      <c r="J65" s="196"/>
      <c r="K65" s="196"/>
      <c r="L65" s="196"/>
      <c r="M65" s="166"/>
      <c r="N65" s="335" t="s">
        <v>46</v>
      </c>
      <c r="O65" s="336" t="s">
        <v>145</v>
      </c>
      <c r="P65" s="336"/>
      <c r="Q65" s="336"/>
      <c r="R65" s="173"/>
      <c r="S65" s="328">
        <v>2019</v>
      </c>
      <c r="T65" s="328"/>
      <c r="U65" s="163"/>
      <c r="V65" s="163"/>
    </row>
    <row r="66" spans="1:22" s="167" customFormat="1" ht="13.5" customHeight="1">
      <c r="A66" s="174" t="s">
        <v>146</v>
      </c>
      <c r="B66" s="197" t="s">
        <v>135</v>
      </c>
      <c r="C66" s="197" t="s">
        <v>136</v>
      </c>
      <c r="D66" s="197" t="s">
        <v>135</v>
      </c>
      <c r="E66" s="197" t="s">
        <v>136</v>
      </c>
      <c r="F66" s="175" t="s">
        <v>135</v>
      </c>
      <c r="G66" s="175" t="s">
        <v>136</v>
      </c>
      <c r="H66" s="175" t="s">
        <v>135</v>
      </c>
      <c r="I66" s="175" t="s">
        <v>136</v>
      </c>
      <c r="J66" s="196"/>
      <c r="K66" s="196"/>
      <c r="L66" s="196"/>
      <c r="M66" s="166"/>
      <c r="N66" s="335"/>
      <c r="O66" s="329" t="s">
        <v>57</v>
      </c>
      <c r="P66" s="330" t="s">
        <v>147</v>
      </c>
      <c r="Q66" s="330" t="s">
        <v>59</v>
      </c>
      <c r="R66" s="198"/>
      <c r="S66" s="331" t="s">
        <v>57</v>
      </c>
      <c r="T66" s="332" t="s">
        <v>147</v>
      </c>
      <c r="U66" s="163"/>
      <c r="V66" s="163"/>
    </row>
    <row r="67" spans="1:22" s="167" customFormat="1" ht="15.75">
      <c r="A67" s="200" t="s">
        <v>140</v>
      </c>
      <c r="B67" s="199"/>
      <c r="C67" s="199"/>
      <c r="D67" s="199"/>
      <c r="E67" s="199"/>
      <c r="F67" s="199"/>
      <c r="G67" s="199"/>
      <c r="H67" s="199"/>
      <c r="I67" s="199"/>
      <c r="J67" s="183"/>
      <c r="K67" s="184"/>
      <c r="L67" s="184"/>
      <c r="M67" s="166"/>
      <c r="N67" s="335"/>
      <c r="O67" s="329"/>
      <c r="P67" s="329"/>
      <c r="Q67" s="330"/>
      <c r="R67" s="198"/>
      <c r="S67" s="331"/>
      <c r="T67" s="331"/>
      <c r="U67" s="163"/>
      <c r="V67" s="163"/>
    </row>
    <row r="68" spans="1:24" s="167" customFormat="1" ht="15.75">
      <c r="A68" s="200" t="s">
        <v>141</v>
      </c>
      <c r="B68" s="180">
        <v>2997</v>
      </c>
      <c r="C68" s="180">
        <v>1879</v>
      </c>
      <c r="D68" s="180">
        <v>795</v>
      </c>
      <c r="E68" s="180">
        <v>988</v>
      </c>
      <c r="F68" s="180">
        <v>217</v>
      </c>
      <c r="G68" s="180">
        <v>592</v>
      </c>
      <c r="H68" s="180">
        <v>155</v>
      </c>
      <c r="I68" s="180">
        <v>2564</v>
      </c>
      <c r="J68" s="183"/>
      <c r="K68" s="184"/>
      <c r="L68" s="184"/>
      <c r="M68" s="166"/>
      <c r="N68" s="201" t="s">
        <v>67</v>
      </c>
      <c r="O68" s="202">
        <f>SUM(B61,B62,B63,B68,B69)*0.68</f>
        <v>3775.36</v>
      </c>
      <c r="P68" s="202">
        <f>SUM(D61,F61,H61,D63,F63,H63,D68,F68,H68)*0.7</f>
        <v>2503.8999999999996</v>
      </c>
      <c r="Q68" s="202">
        <f>SUM(D62,F62,H62,D69,F69,H69)</f>
        <v>20</v>
      </c>
      <c r="R68" s="191"/>
      <c r="S68" s="203">
        <v>4979</v>
      </c>
      <c r="T68" s="204">
        <v>3517</v>
      </c>
      <c r="U68" s="205">
        <f>O68/S68*1-1</f>
        <v>-0.24174332195219916</v>
      </c>
      <c r="V68" s="205">
        <f>P68/T68*1-1</f>
        <v>-0.2880580039806654</v>
      </c>
      <c r="W68" s="206">
        <f>O68-S68</f>
        <v>-1203.6399999999999</v>
      </c>
      <c r="X68" s="206">
        <f>P68-T68</f>
        <v>-1013.1000000000004</v>
      </c>
    </row>
    <row r="69" spans="1:24" s="167" customFormat="1" ht="15.75">
      <c r="A69" s="200" t="s">
        <v>142</v>
      </c>
      <c r="B69" s="180">
        <v>0</v>
      </c>
      <c r="C69" s="180">
        <v>62</v>
      </c>
      <c r="D69" s="180">
        <v>0</v>
      </c>
      <c r="E69" s="180">
        <v>90</v>
      </c>
      <c r="F69" s="180">
        <v>0</v>
      </c>
      <c r="G69" s="180">
        <v>38</v>
      </c>
      <c r="H69" s="180">
        <v>0</v>
      </c>
      <c r="I69" s="180">
        <v>426</v>
      </c>
      <c r="J69" s="183"/>
      <c r="K69" s="184"/>
      <c r="L69" s="184"/>
      <c r="M69" s="166"/>
      <c r="N69" s="201" t="s">
        <v>69</v>
      </c>
      <c r="O69" s="202">
        <f>SUM(C61,C62,C63,C68,C69)*0.55</f>
        <v>2153.8</v>
      </c>
      <c r="P69" s="202">
        <f>SUM(E61,G61,I61,E62,E63,G63,I63,E68,G68,I68,E69)*0.63</f>
        <v>5055.12</v>
      </c>
      <c r="Q69" s="202">
        <f>SUM(G62,I62,G69,I69)*0.7</f>
        <v>862.4</v>
      </c>
      <c r="R69" s="191"/>
      <c r="S69" s="207">
        <v>2760</v>
      </c>
      <c r="T69" s="207">
        <v>7114</v>
      </c>
      <c r="U69" s="205">
        <f>O69/S69*1-1</f>
        <v>-0.21963768115942017</v>
      </c>
      <c r="V69" s="205">
        <f>P69/T69*1-1</f>
        <v>-0.2894124262018555</v>
      </c>
      <c r="W69" s="206">
        <f>O69-S69</f>
        <v>-606.1999999999998</v>
      </c>
      <c r="X69" s="206">
        <f>P69-T69</f>
        <v>-2058.88</v>
      </c>
    </row>
    <row r="70" spans="1:20" ht="15.75">
      <c r="A70" s="208"/>
      <c r="J70" s="208"/>
      <c r="K70" s="208"/>
      <c r="L70" s="208"/>
      <c r="M70" s="209"/>
      <c r="N70" s="208"/>
      <c r="O70" s="208"/>
      <c r="P70" s="208"/>
      <c r="Q70" s="208"/>
      <c r="R70" s="208"/>
      <c r="S70" s="210"/>
      <c r="T70" s="211"/>
    </row>
    <row r="71" spans="1:22" s="167" customFormat="1" ht="16.5" customHeight="1">
      <c r="A71" s="215" t="s">
        <v>151</v>
      </c>
      <c r="B71" s="165"/>
      <c r="C71" s="165"/>
      <c r="D71" s="165"/>
      <c r="E71" s="165"/>
      <c r="F71" s="165"/>
      <c r="G71" s="165"/>
      <c r="H71" s="165"/>
      <c r="I71" s="165"/>
      <c r="J71" s="338" t="s">
        <v>127</v>
      </c>
      <c r="K71" s="339" t="s">
        <v>128</v>
      </c>
      <c r="L71" s="339"/>
      <c r="M71" s="166"/>
      <c r="O71" s="168"/>
      <c r="P71" s="168"/>
      <c r="Q71" s="168"/>
      <c r="R71" s="169"/>
      <c r="S71" s="170"/>
      <c r="T71" s="171"/>
      <c r="U71" s="163"/>
      <c r="V71" s="163"/>
    </row>
    <row r="72" spans="1:22" s="167" customFormat="1" ht="14.25" customHeight="1">
      <c r="A72" s="172" t="s">
        <v>46</v>
      </c>
      <c r="B72" s="334" t="s">
        <v>129</v>
      </c>
      <c r="C72" s="334"/>
      <c r="D72" s="334" t="s">
        <v>130</v>
      </c>
      <c r="E72" s="334"/>
      <c r="F72" s="334" t="s">
        <v>131</v>
      </c>
      <c r="G72" s="334"/>
      <c r="H72" s="334" t="s">
        <v>132</v>
      </c>
      <c r="I72" s="334"/>
      <c r="J72" s="338"/>
      <c r="K72" s="340" t="s">
        <v>133</v>
      </c>
      <c r="L72" s="340"/>
      <c r="M72" s="166"/>
      <c r="N72" s="335" t="s">
        <v>46</v>
      </c>
      <c r="O72" s="336" t="s">
        <v>47</v>
      </c>
      <c r="P72" s="336"/>
      <c r="Q72" s="336"/>
      <c r="R72" s="173"/>
      <c r="S72" s="337" t="s">
        <v>104</v>
      </c>
      <c r="T72" s="337"/>
      <c r="U72" s="163"/>
      <c r="V72" s="163"/>
    </row>
    <row r="73" spans="1:22" s="167" customFormat="1" ht="15.75" customHeight="1">
      <c r="A73" s="174" t="s">
        <v>134</v>
      </c>
      <c r="B73" s="175" t="s">
        <v>135</v>
      </c>
      <c r="C73" s="175" t="s">
        <v>136</v>
      </c>
      <c r="D73" s="175" t="s">
        <v>135</v>
      </c>
      <c r="E73" s="175" t="s">
        <v>136</v>
      </c>
      <c r="F73" s="175" t="s">
        <v>135</v>
      </c>
      <c r="G73" s="175" t="s">
        <v>136</v>
      </c>
      <c r="H73" s="175" t="s">
        <v>135</v>
      </c>
      <c r="I73" s="175" t="s">
        <v>136</v>
      </c>
      <c r="J73" s="176">
        <f>SUM(Reb__Est__por_faixa_etária!D10)</f>
        <v>998</v>
      </c>
      <c r="K73" s="177" t="s">
        <v>137</v>
      </c>
      <c r="L73" s="177" t="s">
        <v>138</v>
      </c>
      <c r="M73" s="166"/>
      <c r="N73" s="335"/>
      <c r="O73" s="329" t="s">
        <v>54</v>
      </c>
      <c r="P73" s="329" t="s">
        <v>55</v>
      </c>
      <c r="Q73" s="329" t="s">
        <v>56</v>
      </c>
      <c r="R73" s="178"/>
      <c r="S73" s="337" t="s">
        <v>139</v>
      </c>
      <c r="T73" s="337"/>
      <c r="U73" s="163"/>
      <c r="V73" s="163"/>
    </row>
    <row r="74" spans="1:22" s="167" customFormat="1" ht="15.75">
      <c r="A74" s="179" t="s">
        <v>140</v>
      </c>
      <c r="B74" s="180">
        <v>32</v>
      </c>
      <c r="C74" s="180">
        <v>5</v>
      </c>
      <c r="D74" s="180">
        <v>240</v>
      </c>
      <c r="E74" s="180">
        <v>90</v>
      </c>
      <c r="F74" s="180">
        <v>422</v>
      </c>
      <c r="G74" s="180">
        <v>40</v>
      </c>
      <c r="H74" s="180">
        <v>61</v>
      </c>
      <c r="I74" s="180">
        <v>134</v>
      </c>
      <c r="J74" s="179"/>
      <c r="K74" s="181">
        <f>J73*0.6</f>
        <v>598.8000000000001</v>
      </c>
      <c r="L74" s="181">
        <f>J73*0.4</f>
        <v>399.20000000000005</v>
      </c>
      <c r="M74" s="166"/>
      <c r="N74" s="335"/>
      <c r="O74" s="329"/>
      <c r="P74" s="329"/>
      <c r="Q74" s="329"/>
      <c r="R74" s="178"/>
      <c r="S74" s="212">
        <f>S60</f>
        <v>2020</v>
      </c>
      <c r="T74" s="212">
        <f>T60</f>
        <v>2019</v>
      </c>
      <c r="U74" s="163"/>
      <c r="V74" s="163"/>
    </row>
    <row r="75" spans="1:22" s="167" customFormat="1" ht="15.75">
      <c r="A75" s="179" t="s">
        <v>141</v>
      </c>
      <c r="B75" s="180">
        <v>1206</v>
      </c>
      <c r="C75" s="180">
        <v>657</v>
      </c>
      <c r="D75" s="180">
        <v>882</v>
      </c>
      <c r="E75" s="180">
        <v>471</v>
      </c>
      <c r="F75" s="180">
        <v>490</v>
      </c>
      <c r="G75" s="180">
        <v>246</v>
      </c>
      <c r="H75" s="180">
        <v>111</v>
      </c>
      <c r="I75" s="180">
        <v>1389</v>
      </c>
      <c r="J75" s="183"/>
      <c r="K75" s="184"/>
      <c r="L75" s="184"/>
      <c r="M75" s="166"/>
      <c r="N75" s="185" t="s">
        <v>67</v>
      </c>
      <c r="O75" s="186">
        <f>SUM(F74,H74,F81,H81)</f>
        <v>973</v>
      </c>
      <c r="P75" s="186">
        <f>SUM(B74,D74,B81,D81,K74)</f>
        <v>1176.8000000000002</v>
      </c>
      <c r="Q75" s="187"/>
      <c r="R75" s="188"/>
      <c r="S75" s="189">
        <f>(O75+P75+O76+P76+O82+P82+O83+P83+Q83+Q82)</f>
        <v>11145.019999999999</v>
      </c>
      <c r="T75" s="213">
        <v>11328</v>
      </c>
      <c r="U75" s="163"/>
      <c r="V75" s="163"/>
    </row>
    <row r="76" spans="1:22" s="167" customFormat="1" ht="15.75">
      <c r="A76" s="179" t="s">
        <v>142</v>
      </c>
      <c r="B76" s="180">
        <v>0</v>
      </c>
      <c r="C76" s="180">
        <v>7</v>
      </c>
      <c r="D76" s="180">
        <v>0</v>
      </c>
      <c r="E76" s="180">
        <v>87</v>
      </c>
      <c r="F76" s="180">
        <v>1</v>
      </c>
      <c r="G76" s="180">
        <v>110</v>
      </c>
      <c r="H76" s="180">
        <v>1</v>
      </c>
      <c r="I76" s="180">
        <v>343</v>
      </c>
      <c r="J76" s="183"/>
      <c r="K76" s="184"/>
      <c r="L76" s="184"/>
      <c r="M76" s="166"/>
      <c r="N76" s="185" t="s">
        <v>69</v>
      </c>
      <c r="O76" s="186">
        <f>SUM(G74,I74,G81,I81)</f>
        <v>817</v>
      </c>
      <c r="P76" s="186">
        <f>SUM(C74,E74,C81,E81,L74)</f>
        <v>707.2</v>
      </c>
      <c r="Q76" s="190"/>
      <c r="R76" s="191"/>
      <c r="S76" s="192" t="s">
        <v>143</v>
      </c>
      <c r="T76" s="193">
        <f>S75-T75</f>
        <v>-182.98000000000138</v>
      </c>
      <c r="U76" s="163"/>
      <c r="V76" s="163"/>
    </row>
    <row r="77" spans="1:22" s="167" customFormat="1" ht="15.75">
      <c r="A77" s="179" t="s">
        <v>144</v>
      </c>
      <c r="B77" s="180">
        <v>50</v>
      </c>
      <c r="C77" s="180">
        <v>80</v>
      </c>
      <c r="D77" s="180">
        <v>4</v>
      </c>
      <c r="E77" s="180">
        <v>26</v>
      </c>
      <c r="F77" s="180">
        <v>1</v>
      </c>
      <c r="G77" s="180">
        <v>0</v>
      </c>
      <c r="H77" s="180">
        <v>0</v>
      </c>
      <c r="I77" s="180">
        <v>0</v>
      </c>
      <c r="J77" s="183"/>
      <c r="K77" s="184"/>
      <c r="L77" s="184"/>
      <c r="M77" s="166"/>
      <c r="O77" s="168"/>
      <c r="P77" s="168"/>
      <c r="Q77" s="168"/>
      <c r="R77" s="169"/>
      <c r="S77" s="194"/>
      <c r="T77" s="195"/>
      <c r="U77" s="163"/>
      <c r="V77" s="163"/>
    </row>
    <row r="78" spans="1:22" s="167" customFormat="1" ht="6" customHeight="1">
      <c r="A78" s="184"/>
      <c r="B78"/>
      <c r="C78"/>
      <c r="D78"/>
      <c r="E78"/>
      <c r="F78"/>
      <c r="G78"/>
      <c r="H78"/>
      <c r="I78"/>
      <c r="J78" s="184"/>
      <c r="K78" s="184"/>
      <c r="L78" s="184"/>
      <c r="M78" s="166"/>
      <c r="O78" s="168"/>
      <c r="P78" s="168"/>
      <c r="Q78" s="168"/>
      <c r="R78" s="169"/>
      <c r="S78" s="194"/>
      <c r="T78" s="195"/>
      <c r="U78" s="163"/>
      <c r="V78" s="163"/>
    </row>
    <row r="79" spans="1:22" s="167" customFormat="1" ht="13.5" customHeight="1">
      <c r="A79" s="172" t="s">
        <v>46</v>
      </c>
      <c r="B79" s="333" t="s">
        <v>129</v>
      </c>
      <c r="C79" s="333"/>
      <c r="D79" s="333" t="s">
        <v>130</v>
      </c>
      <c r="E79" s="333"/>
      <c r="F79" s="334" t="s">
        <v>131</v>
      </c>
      <c r="G79" s="334"/>
      <c r="H79" s="334" t="s">
        <v>132</v>
      </c>
      <c r="I79" s="334"/>
      <c r="J79" s="196"/>
      <c r="K79" s="196"/>
      <c r="L79" s="196"/>
      <c r="M79" s="166"/>
      <c r="N79" s="335" t="s">
        <v>46</v>
      </c>
      <c r="O79" s="336" t="s">
        <v>145</v>
      </c>
      <c r="P79" s="336"/>
      <c r="Q79" s="336"/>
      <c r="R79" s="173"/>
      <c r="S79" s="328">
        <v>2019</v>
      </c>
      <c r="T79" s="328"/>
      <c r="U79" s="163"/>
      <c r="V79" s="163"/>
    </row>
    <row r="80" spans="1:22" s="167" customFormat="1" ht="13.5" customHeight="1">
      <c r="A80" s="174" t="s">
        <v>146</v>
      </c>
      <c r="B80" s="197" t="s">
        <v>135</v>
      </c>
      <c r="C80" s="197" t="s">
        <v>136</v>
      </c>
      <c r="D80" s="197" t="s">
        <v>135</v>
      </c>
      <c r="E80" s="197" t="s">
        <v>136</v>
      </c>
      <c r="F80" s="175" t="s">
        <v>135</v>
      </c>
      <c r="G80" s="175" t="s">
        <v>136</v>
      </c>
      <c r="H80" s="175" t="s">
        <v>135</v>
      </c>
      <c r="I80" s="175" t="s">
        <v>136</v>
      </c>
      <c r="J80" s="196"/>
      <c r="K80" s="196"/>
      <c r="L80" s="196"/>
      <c r="M80" s="166"/>
      <c r="N80" s="335"/>
      <c r="O80" s="329" t="s">
        <v>57</v>
      </c>
      <c r="P80" s="330" t="s">
        <v>147</v>
      </c>
      <c r="Q80" s="330" t="s">
        <v>59</v>
      </c>
      <c r="R80" s="198"/>
      <c r="S80" s="331" t="s">
        <v>57</v>
      </c>
      <c r="T80" s="332" t="s">
        <v>147</v>
      </c>
      <c r="U80" s="163"/>
      <c r="V80" s="163"/>
    </row>
    <row r="81" spans="1:22" s="167" customFormat="1" ht="15.75">
      <c r="A81" s="200" t="s">
        <v>140</v>
      </c>
      <c r="B81" s="180">
        <v>68</v>
      </c>
      <c r="C81" s="180">
        <v>10</v>
      </c>
      <c r="D81" s="180">
        <v>238</v>
      </c>
      <c r="E81" s="180">
        <v>203</v>
      </c>
      <c r="F81" s="180">
        <v>426</v>
      </c>
      <c r="G81" s="180">
        <v>204</v>
      </c>
      <c r="H81" s="180">
        <v>64</v>
      </c>
      <c r="I81" s="180">
        <v>439</v>
      </c>
      <c r="J81" s="183"/>
      <c r="K81" s="184"/>
      <c r="L81" s="184"/>
      <c r="M81" s="166"/>
      <c r="N81" s="335"/>
      <c r="O81" s="329"/>
      <c r="P81" s="329"/>
      <c r="Q81" s="330"/>
      <c r="R81" s="198"/>
      <c r="S81" s="331"/>
      <c r="T81" s="331"/>
      <c r="U81" s="163"/>
      <c r="V81" s="163"/>
    </row>
    <row r="82" spans="1:24" s="167" customFormat="1" ht="15.75">
      <c r="A82" s="200" t="s">
        <v>141</v>
      </c>
      <c r="B82" s="180">
        <v>794</v>
      </c>
      <c r="C82" s="180">
        <v>700</v>
      </c>
      <c r="D82" s="180">
        <v>614</v>
      </c>
      <c r="E82" s="180">
        <v>379</v>
      </c>
      <c r="F82" s="180">
        <v>116</v>
      </c>
      <c r="G82" s="180">
        <v>269</v>
      </c>
      <c r="H82" s="180">
        <v>134</v>
      </c>
      <c r="I82" s="180">
        <v>1075</v>
      </c>
      <c r="J82" s="183"/>
      <c r="K82" s="184"/>
      <c r="L82" s="184"/>
      <c r="M82" s="166"/>
      <c r="N82" s="201" t="s">
        <v>67</v>
      </c>
      <c r="O82" s="202">
        <f>SUM(B75,B76,B77,B82,B83)*0.73</f>
        <v>1496.5</v>
      </c>
      <c r="P82" s="202">
        <f>SUM(D75,F75,H75,D77,F77,H77,D82,F82,H82)*0.7</f>
        <v>1646.3999999999999</v>
      </c>
      <c r="Q82" s="202">
        <f>SUM(D76,F76,H76,D83,F83,H83)*0.8</f>
        <v>10.4</v>
      </c>
      <c r="R82" s="191"/>
      <c r="S82" s="203">
        <v>1863</v>
      </c>
      <c r="T82" s="204">
        <v>2064</v>
      </c>
      <c r="U82" s="205">
        <f>O82/S82*1-1</f>
        <v>-0.19672571121846483</v>
      </c>
      <c r="V82" s="205">
        <f>P82/T82*1-1</f>
        <v>-0.20232558139534895</v>
      </c>
      <c r="W82" s="206">
        <f>O82-S82</f>
        <v>-366.5</v>
      </c>
      <c r="X82" s="206">
        <f>P82-T82</f>
        <v>-417.60000000000014</v>
      </c>
    </row>
    <row r="83" spans="1:24" s="167" customFormat="1" ht="15.75">
      <c r="A83" s="200" t="s">
        <v>142</v>
      </c>
      <c r="B83" s="180">
        <v>0</v>
      </c>
      <c r="C83" s="180">
        <v>0</v>
      </c>
      <c r="D83" s="180">
        <v>10</v>
      </c>
      <c r="E83" s="180">
        <v>34</v>
      </c>
      <c r="F83" s="180">
        <v>0</v>
      </c>
      <c r="G83" s="180">
        <v>55</v>
      </c>
      <c r="H83" s="180">
        <v>1</v>
      </c>
      <c r="I83" s="180">
        <v>152</v>
      </c>
      <c r="J83" s="183"/>
      <c r="K83" s="184"/>
      <c r="L83" s="184"/>
      <c r="M83" s="166"/>
      <c r="N83" s="201" t="s">
        <v>69</v>
      </c>
      <c r="O83" s="202">
        <f>SUM(C75,C76,C77,C82,C83)*0.55</f>
        <v>794.2</v>
      </c>
      <c r="P83" s="202">
        <f>SUM(E75,G75,I75,E76,E77,G77,I77,E82,G82,I82,E83)*0.77</f>
        <v>3061.52</v>
      </c>
      <c r="Q83" s="202">
        <f>SUM(G76,I76,G83,I83)*0.7</f>
        <v>461.99999999999994</v>
      </c>
      <c r="R83" s="191"/>
      <c r="S83" s="207">
        <v>987</v>
      </c>
      <c r="T83" s="207">
        <v>3778</v>
      </c>
      <c r="U83" s="205">
        <f>O83/S83*1-1</f>
        <v>-0.19533941236068886</v>
      </c>
      <c r="V83" s="205">
        <f>P83/T83*1-1</f>
        <v>-0.18964531498147164</v>
      </c>
      <c r="W83" s="206">
        <f>O83-S83</f>
        <v>-192.79999999999995</v>
      </c>
      <c r="X83" s="206">
        <f>P83-T83</f>
        <v>-716.48</v>
      </c>
    </row>
    <row r="84" spans="1:20" ht="15.7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9"/>
      <c r="N84" s="208"/>
      <c r="O84" s="208"/>
      <c r="P84" s="208"/>
      <c r="Q84" s="208"/>
      <c r="R84" s="208"/>
      <c r="S84" s="210"/>
      <c r="T84" s="211"/>
    </row>
    <row r="85" spans="1:24" s="167" customFormat="1" ht="16.5" customHeight="1">
      <c r="A85" s="215" t="s">
        <v>152</v>
      </c>
      <c r="B85" s="165"/>
      <c r="C85" s="165"/>
      <c r="D85" s="165"/>
      <c r="E85" s="165"/>
      <c r="F85" s="165"/>
      <c r="G85" s="165"/>
      <c r="H85" s="165"/>
      <c r="I85" s="165"/>
      <c r="J85" s="338" t="s">
        <v>127</v>
      </c>
      <c r="K85" s="339" t="s">
        <v>128</v>
      </c>
      <c r="L85" s="339"/>
      <c r="M85" s="166"/>
      <c r="O85" s="168"/>
      <c r="P85" s="168"/>
      <c r="Q85" s="168"/>
      <c r="R85" s="169"/>
      <c r="S85" s="170"/>
      <c r="T85" s="171"/>
      <c r="U85" s="163"/>
      <c r="V85" s="163"/>
      <c r="W85"/>
      <c r="X85"/>
    </row>
    <row r="86" spans="1:22" s="167" customFormat="1" ht="14.25" customHeight="1">
      <c r="A86" s="172" t="s">
        <v>46</v>
      </c>
      <c r="B86" s="334" t="s">
        <v>129</v>
      </c>
      <c r="C86" s="334"/>
      <c r="D86" s="334" t="s">
        <v>130</v>
      </c>
      <c r="E86" s="334"/>
      <c r="F86" s="334" t="s">
        <v>131</v>
      </c>
      <c r="G86" s="334"/>
      <c r="H86" s="334" t="s">
        <v>132</v>
      </c>
      <c r="I86" s="334"/>
      <c r="J86" s="338"/>
      <c r="K86" s="340" t="s">
        <v>133</v>
      </c>
      <c r="L86" s="340"/>
      <c r="M86" s="166"/>
      <c r="N86" s="335" t="s">
        <v>46</v>
      </c>
      <c r="O86" s="336" t="s">
        <v>47</v>
      </c>
      <c r="P86" s="336"/>
      <c r="Q86" s="336"/>
      <c r="R86" s="173"/>
      <c r="S86" s="337" t="s">
        <v>104</v>
      </c>
      <c r="T86" s="337"/>
      <c r="U86" s="163"/>
      <c r="V86" s="163"/>
    </row>
    <row r="87" spans="1:22" s="167" customFormat="1" ht="15.75" customHeight="1">
      <c r="A87" s="174" t="s">
        <v>134</v>
      </c>
      <c r="B87" s="175" t="s">
        <v>135</v>
      </c>
      <c r="C87" s="175" t="s">
        <v>136</v>
      </c>
      <c r="D87" s="175" t="s">
        <v>135</v>
      </c>
      <c r="E87" s="175" t="s">
        <v>136</v>
      </c>
      <c r="F87" s="175" t="s">
        <v>135</v>
      </c>
      <c r="G87" s="175" t="s">
        <v>136</v>
      </c>
      <c r="H87" s="175" t="s">
        <v>135</v>
      </c>
      <c r="I87" s="175" t="s">
        <v>136</v>
      </c>
      <c r="J87" s="176">
        <f>SUM(Reb__Est__por_faixa_etária!D11)</f>
        <v>835</v>
      </c>
      <c r="K87" s="177" t="s">
        <v>137</v>
      </c>
      <c r="L87" s="177" t="s">
        <v>138</v>
      </c>
      <c r="M87" s="166"/>
      <c r="N87" s="335"/>
      <c r="O87" s="329" t="s">
        <v>54</v>
      </c>
      <c r="P87" s="329" t="s">
        <v>55</v>
      </c>
      <c r="Q87" s="329" t="s">
        <v>56</v>
      </c>
      <c r="R87" s="178"/>
      <c r="S87" s="337" t="s">
        <v>139</v>
      </c>
      <c r="T87" s="337"/>
      <c r="U87" s="163"/>
      <c r="V87" s="163"/>
    </row>
    <row r="88" spans="1:22" s="167" customFormat="1" ht="15.75">
      <c r="A88" s="179" t="s">
        <v>140</v>
      </c>
      <c r="B88" s="180">
        <v>122</v>
      </c>
      <c r="C88" s="180">
        <v>123</v>
      </c>
      <c r="D88" s="180">
        <v>1699</v>
      </c>
      <c r="E88" s="180">
        <v>1342</v>
      </c>
      <c r="F88" s="180">
        <v>1198</v>
      </c>
      <c r="G88" s="180">
        <v>1082</v>
      </c>
      <c r="H88" s="180">
        <v>587</v>
      </c>
      <c r="I88" s="180">
        <v>2072</v>
      </c>
      <c r="J88" s="179"/>
      <c r="K88" s="181">
        <f>J87*0.6</f>
        <v>501.00000000000006</v>
      </c>
      <c r="L88" s="181">
        <f>J87*0.4</f>
        <v>334</v>
      </c>
      <c r="M88" s="166"/>
      <c r="N88" s="335"/>
      <c r="O88" s="329"/>
      <c r="P88" s="329"/>
      <c r="Q88" s="329"/>
      <c r="R88" s="178"/>
      <c r="S88" s="212">
        <f>S74</f>
        <v>2020</v>
      </c>
      <c r="T88" s="212">
        <f>T74</f>
        <v>2019</v>
      </c>
      <c r="U88" s="163"/>
      <c r="V88" s="163"/>
    </row>
    <row r="89" spans="1:22" s="167" customFormat="1" ht="15.75">
      <c r="A89" s="179" t="s">
        <v>141</v>
      </c>
      <c r="B89" s="180">
        <v>1707</v>
      </c>
      <c r="C89" s="180">
        <v>1220</v>
      </c>
      <c r="D89" s="180">
        <v>1161</v>
      </c>
      <c r="E89" s="180">
        <v>885</v>
      </c>
      <c r="F89" s="180">
        <v>859</v>
      </c>
      <c r="G89" s="180">
        <v>206</v>
      </c>
      <c r="H89" s="180">
        <v>163</v>
      </c>
      <c r="I89" s="180">
        <v>1361</v>
      </c>
      <c r="J89" s="183"/>
      <c r="K89" s="184"/>
      <c r="L89" s="184"/>
      <c r="M89" s="166"/>
      <c r="N89" s="185" t="s">
        <v>67</v>
      </c>
      <c r="O89" s="186">
        <f>SUM(F88,H88,F95,H95)</f>
        <v>1860</v>
      </c>
      <c r="P89" s="186">
        <f>SUM(B88,D88,B95,D95,K88)</f>
        <v>2406</v>
      </c>
      <c r="Q89" s="187"/>
      <c r="R89" s="188"/>
      <c r="S89" s="189">
        <f>(O89+P89+O90+P90+O96+P96+O97+P97+Q97+Q96)</f>
        <v>23709.74</v>
      </c>
      <c r="T89" s="213">
        <v>23571</v>
      </c>
      <c r="U89" s="163"/>
      <c r="V89" s="163"/>
    </row>
    <row r="90" spans="1:22" s="167" customFormat="1" ht="15.75">
      <c r="A90" s="179" t="s">
        <v>142</v>
      </c>
      <c r="B90" s="180">
        <v>0</v>
      </c>
      <c r="C90" s="180">
        <v>28</v>
      </c>
      <c r="D90" s="180">
        <v>0</v>
      </c>
      <c r="E90" s="180">
        <v>137</v>
      </c>
      <c r="F90" s="180">
        <v>109</v>
      </c>
      <c r="G90" s="180">
        <v>25</v>
      </c>
      <c r="H90" s="180">
        <v>0</v>
      </c>
      <c r="I90" s="180">
        <v>154</v>
      </c>
      <c r="J90" s="183"/>
      <c r="K90" s="184"/>
      <c r="L90" s="184"/>
      <c r="M90" s="166"/>
      <c r="N90" s="185" t="s">
        <v>69</v>
      </c>
      <c r="O90" s="186">
        <f>SUM(G88,I88,G95,I95)</f>
        <v>3257</v>
      </c>
      <c r="P90" s="186">
        <f>SUM(C88,E88,C95,E95,L88)</f>
        <v>1849</v>
      </c>
      <c r="Q90" s="190"/>
      <c r="R90" s="191"/>
      <c r="S90" s="192" t="s">
        <v>143</v>
      </c>
      <c r="T90" s="193">
        <f>S89-T89</f>
        <v>138.7400000000016</v>
      </c>
      <c r="U90" s="163"/>
      <c r="V90" s="163"/>
    </row>
    <row r="91" spans="1:22" s="167" customFormat="1" ht="15.75">
      <c r="A91" s="179" t="s">
        <v>144</v>
      </c>
      <c r="B91" s="180">
        <v>617</v>
      </c>
      <c r="C91" s="180">
        <v>561</v>
      </c>
      <c r="D91" s="180">
        <v>40</v>
      </c>
      <c r="E91" s="180">
        <v>104</v>
      </c>
      <c r="F91" s="180">
        <v>10</v>
      </c>
      <c r="G91" s="180">
        <v>0</v>
      </c>
      <c r="H91" s="180">
        <v>0</v>
      </c>
      <c r="I91" s="180">
        <v>24</v>
      </c>
      <c r="J91" s="183"/>
      <c r="K91" s="184"/>
      <c r="L91" s="184"/>
      <c r="M91" s="166"/>
      <c r="O91" s="168"/>
      <c r="P91" s="168"/>
      <c r="Q91" s="168"/>
      <c r="R91" s="169"/>
      <c r="S91" s="194"/>
      <c r="T91" s="195"/>
      <c r="U91" s="163"/>
      <c r="V91" s="163"/>
    </row>
    <row r="92" spans="1:22" s="167" customFormat="1" ht="6" customHeight="1">
      <c r="A92" s="184"/>
      <c r="B92"/>
      <c r="C92"/>
      <c r="D92"/>
      <c r="E92"/>
      <c r="F92"/>
      <c r="G92"/>
      <c r="H92"/>
      <c r="I92"/>
      <c r="J92" s="184"/>
      <c r="K92" s="184"/>
      <c r="L92" s="184"/>
      <c r="M92" s="166"/>
      <c r="O92" s="168"/>
      <c r="P92" s="168"/>
      <c r="Q92" s="168"/>
      <c r="R92" s="169"/>
      <c r="S92" s="194"/>
      <c r="T92" s="195"/>
      <c r="U92" s="163"/>
      <c r="V92" s="163"/>
    </row>
    <row r="93" spans="1:22" s="167" customFormat="1" ht="13.5" customHeight="1">
      <c r="A93" s="172" t="s">
        <v>46</v>
      </c>
      <c r="B93" s="333" t="s">
        <v>129</v>
      </c>
      <c r="C93" s="333"/>
      <c r="D93" s="333" t="s">
        <v>130</v>
      </c>
      <c r="E93" s="333"/>
      <c r="F93" s="334" t="s">
        <v>131</v>
      </c>
      <c r="G93" s="334"/>
      <c r="H93" s="334" t="s">
        <v>132</v>
      </c>
      <c r="I93" s="334"/>
      <c r="J93" s="196"/>
      <c r="K93" s="196"/>
      <c r="L93" s="196"/>
      <c r="M93" s="166"/>
      <c r="N93" s="335" t="s">
        <v>46</v>
      </c>
      <c r="O93" s="336" t="s">
        <v>145</v>
      </c>
      <c r="P93" s="336"/>
      <c r="Q93" s="336"/>
      <c r="R93" s="173"/>
      <c r="S93" s="328">
        <v>2019</v>
      </c>
      <c r="T93" s="328"/>
      <c r="U93" s="163"/>
      <c r="V93" s="163"/>
    </row>
    <row r="94" spans="1:22" s="167" customFormat="1" ht="13.5" customHeight="1">
      <c r="A94" s="174" t="s">
        <v>146</v>
      </c>
      <c r="B94" s="197" t="s">
        <v>135</v>
      </c>
      <c r="C94" s="197" t="s">
        <v>136</v>
      </c>
      <c r="D94" s="197" t="s">
        <v>135</v>
      </c>
      <c r="E94" s="197" t="s">
        <v>136</v>
      </c>
      <c r="F94" s="175" t="s">
        <v>135</v>
      </c>
      <c r="G94" s="175" t="s">
        <v>136</v>
      </c>
      <c r="H94" s="175" t="s">
        <v>135</v>
      </c>
      <c r="I94" s="175" t="s">
        <v>136</v>
      </c>
      <c r="J94" s="196"/>
      <c r="K94" s="196"/>
      <c r="L94" s="196"/>
      <c r="M94" s="166"/>
      <c r="N94" s="335"/>
      <c r="O94" s="329" t="s">
        <v>57</v>
      </c>
      <c r="P94" s="330" t="s">
        <v>147</v>
      </c>
      <c r="Q94" s="330" t="s">
        <v>59</v>
      </c>
      <c r="R94" s="198"/>
      <c r="S94" s="331" t="s">
        <v>57</v>
      </c>
      <c r="T94" s="332" t="s">
        <v>147</v>
      </c>
      <c r="U94" s="163"/>
      <c r="V94" s="163"/>
    </row>
    <row r="95" spans="1:22" s="167" customFormat="1" ht="15.75">
      <c r="A95" s="200" t="s">
        <v>140</v>
      </c>
      <c r="B95" s="180">
        <v>19</v>
      </c>
      <c r="C95" s="180">
        <v>27</v>
      </c>
      <c r="D95" s="180">
        <v>65</v>
      </c>
      <c r="E95" s="180">
        <v>23</v>
      </c>
      <c r="F95" s="180">
        <v>62</v>
      </c>
      <c r="G95" s="180">
        <v>57</v>
      </c>
      <c r="H95" s="180">
        <v>13</v>
      </c>
      <c r="I95" s="180">
        <v>46</v>
      </c>
      <c r="J95" s="183"/>
      <c r="K95" s="184"/>
      <c r="L95" s="184"/>
      <c r="M95" s="166"/>
      <c r="N95" s="335"/>
      <c r="O95" s="329"/>
      <c r="P95" s="329"/>
      <c r="Q95" s="330"/>
      <c r="R95" s="198"/>
      <c r="S95" s="331"/>
      <c r="T95" s="331"/>
      <c r="U95" s="163"/>
      <c r="V95" s="163"/>
    </row>
    <row r="96" spans="1:24" s="167" customFormat="1" ht="15.75">
      <c r="A96" s="200" t="s">
        <v>141</v>
      </c>
      <c r="B96" s="180">
        <v>2065</v>
      </c>
      <c r="C96" s="180">
        <v>1567</v>
      </c>
      <c r="D96" s="180">
        <v>1192</v>
      </c>
      <c r="E96" s="180">
        <v>1042</v>
      </c>
      <c r="F96" s="180">
        <v>515</v>
      </c>
      <c r="G96" s="180">
        <v>698</v>
      </c>
      <c r="H96" s="180">
        <v>127</v>
      </c>
      <c r="I96" s="180">
        <v>3772</v>
      </c>
      <c r="J96" s="183"/>
      <c r="K96" s="184"/>
      <c r="L96" s="184"/>
      <c r="M96" s="166"/>
      <c r="N96" s="201" t="s">
        <v>67</v>
      </c>
      <c r="O96" s="202">
        <f>SUM(B89,B90,B91,B96,B97)*0.6</f>
        <v>2634</v>
      </c>
      <c r="P96" s="202">
        <f>SUM(D89,F89,H89,D91,F91,H91,D96,F96,H96)*0.8</f>
        <v>3253.6000000000004</v>
      </c>
      <c r="Q96" s="202">
        <f>SUM(D90,F90,H90,D97,F97,H97)</f>
        <v>109</v>
      </c>
      <c r="R96" s="191"/>
      <c r="S96" s="203">
        <v>3283</v>
      </c>
      <c r="T96" s="204">
        <v>4434</v>
      </c>
      <c r="U96" s="205">
        <f>O96/S96*1-1</f>
        <v>-0.19768504416692045</v>
      </c>
      <c r="V96" s="205">
        <f>P96/T96*1-1</f>
        <v>-0.2662156066756878</v>
      </c>
      <c r="W96" s="206">
        <f>O96-S96</f>
        <v>-649</v>
      </c>
      <c r="X96" s="206">
        <f>P96-T96</f>
        <v>-1180.3999999999996</v>
      </c>
    </row>
    <row r="97" spans="1:24" s="167" customFormat="1" ht="15.75">
      <c r="A97" s="200" t="s">
        <v>142</v>
      </c>
      <c r="B97" s="180">
        <v>1</v>
      </c>
      <c r="C97" s="180">
        <v>10</v>
      </c>
      <c r="D97" s="180">
        <v>0</v>
      </c>
      <c r="E97" s="180">
        <v>51</v>
      </c>
      <c r="F97" s="180">
        <v>0</v>
      </c>
      <c r="G97" s="180">
        <v>110</v>
      </c>
      <c r="H97" s="180">
        <v>0</v>
      </c>
      <c r="I97" s="180">
        <v>493</v>
      </c>
      <c r="J97" s="183"/>
      <c r="K97" s="184"/>
      <c r="L97" s="184"/>
      <c r="M97" s="166"/>
      <c r="N97" s="201" t="s">
        <v>69</v>
      </c>
      <c r="O97" s="202">
        <f>SUM(C89,C90,C91,C96,C97)*0.59</f>
        <v>1997.7399999999998</v>
      </c>
      <c r="P97" s="202">
        <f>SUM(E89,G89,I89,E90,E91,G91,I91,E96,G96,I96,E97)*0.7</f>
        <v>5796</v>
      </c>
      <c r="Q97" s="202">
        <f>SUM(G90,I90,G97,I97)*0.7</f>
        <v>547.4</v>
      </c>
      <c r="R97" s="191"/>
      <c r="S97" s="207">
        <v>2474</v>
      </c>
      <c r="T97" s="207">
        <v>7370</v>
      </c>
      <c r="U97" s="205">
        <f>O97/S97*1-1</f>
        <v>-0.19250606305578022</v>
      </c>
      <c r="V97" s="205">
        <f>P97/T97*1-1</f>
        <v>-0.2135685210312076</v>
      </c>
      <c r="W97" s="206">
        <f>O97-S97</f>
        <v>-476.2600000000002</v>
      </c>
      <c r="X97" s="206">
        <f>P97-T97</f>
        <v>-1574</v>
      </c>
    </row>
    <row r="98" spans="1:20" ht="15.7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9"/>
      <c r="N98" s="208"/>
      <c r="O98" s="208"/>
      <c r="P98" s="208"/>
      <c r="Q98" s="208"/>
      <c r="R98" s="208"/>
      <c r="S98" s="208"/>
      <c r="T98" s="208"/>
    </row>
    <row r="99" spans="1:20" ht="25.5" customHeight="1">
      <c r="A99" s="218"/>
      <c r="J99" s="219" t="s">
        <v>153</v>
      </c>
      <c r="K99" s="218"/>
      <c r="L99" s="218"/>
      <c r="M99" s="220"/>
      <c r="N99" s="218"/>
      <c r="O99" s="218"/>
      <c r="P99" s="218"/>
      <c r="Q99" s="218"/>
      <c r="R99" s="218"/>
      <c r="S99" s="325" t="s">
        <v>154</v>
      </c>
      <c r="T99" s="325"/>
    </row>
    <row r="100" spans="1:20" ht="15.75" customHeight="1">
      <c r="A100" s="218"/>
      <c r="B100" s="218"/>
      <c r="C100" s="218"/>
      <c r="D100" s="218"/>
      <c r="E100" s="218"/>
      <c r="F100" s="218"/>
      <c r="G100" s="218"/>
      <c r="H100" s="218"/>
      <c r="I100" s="218"/>
      <c r="J100" s="221">
        <f>SUM(J3,J17,J31,J45,J59,J73,J87)</f>
        <v>5202</v>
      </c>
      <c r="K100" s="218"/>
      <c r="L100" s="218"/>
      <c r="M100" s="220"/>
      <c r="N100" s="218"/>
      <c r="O100" s="218"/>
      <c r="P100" s="218"/>
      <c r="Q100" s="218"/>
      <c r="R100" s="218"/>
      <c r="S100" s="221">
        <f>SUM(S5,S19,S33,S47,S61,S75,S89)</f>
        <v>98552.68000000001</v>
      </c>
      <c r="T100" s="221">
        <f>SUM(T5,T19,T33,T47,T61,T75,T89)</f>
        <v>105390</v>
      </c>
    </row>
    <row r="101" spans="10:20" ht="12.75" customHeight="1">
      <c r="J101" s="221">
        <f>SUM(Reb__Est__por_faixa_etária!D12)</f>
        <v>5202</v>
      </c>
      <c r="S101" s="326">
        <f>S100-T100</f>
        <v>-6837.319999999992</v>
      </c>
      <c r="T101" s="326"/>
    </row>
    <row r="102" spans="19:20" ht="15.75">
      <c r="S102" s="327">
        <f>SUM(S100/T100)-1</f>
        <v>-0.06487636398140229</v>
      </c>
      <c r="T102" s="327"/>
    </row>
    <row r="107" ht="12.75" customHeight="1"/>
    <row r="109" ht="12.75" customHeight="1"/>
    <row r="116" ht="12.75" customHeight="1"/>
    <row r="117" ht="12.75" customHeight="1"/>
    <row r="122" ht="12.75" customHeight="1"/>
  </sheetData>
  <sheetProtection/>
  <mergeCells count="185">
    <mergeCell ref="J1:J2"/>
    <mergeCell ref="K1:L1"/>
    <mergeCell ref="B2:C2"/>
    <mergeCell ref="D2:E2"/>
    <mergeCell ref="F2:G2"/>
    <mergeCell ref="H2:I2"/>
    <mergeCell ref="K2:L2"/>
    <mergeCell ref="N2:N4"/>
    <mergeCell ref="O2:Q2"/>
    <mergeCell ref="S2:T2"/>
    <mergeCell ref="O3:O4"/>
    <mergeCell ref="P3:P4"/>
    <mergeCell ref="Q3:Q4"/>
    <mergeCell ref="S3:T3"/>
    <mergeCell ref="B9:C9"/>
    <mergeCell ref="D9:E9"/>
    <mergeCell ref="F9:G9"/>
    <mergeCell ref="H9:I9"/>
    <mergeCell ref="N9:N11"/>
    <mergeCell ref="O9:Q9"/>
    <mergeCell ref="S9:T9"/>
    <mergeCell ref="O10:O11"/>
    <mergeCell ref="P10:P11"/>
    <mergeCell ref="Q10:Q11"/>
    <mergeCell ref="S10:S11"/>
    <mergeCell ref="T10:T11"/>
    <mergeCell ref="J15:J16"/>
    <mergeCell ref="K15:L15"/>
    <mergeCell ref="B16:C16"/>
    <mergeCell ref="D16:E16"/>
    <mergeCell ref="F16:G16"/>
    <mergeCell ref="H16:I16"/>
    <mergeCell ref="K16:L16"/>
    <mergeCell ref="N16:N18"/>
    <mergeCell ref="O16:Q16"/>
    <mergeCell ref="S16:T16"/>
    <mergeCell ref="O17:O18"/>
    <mergeCell ref="P17:P18"/>
    <mergeCell ref="Q17:Q18"/>
    <mergeCell ref="S17:T17"/>
    <mergeCell ref="B23:C23"/>
    <mergeCell ref="D23:E23"/>
    <mergeCell ref="F23:G23"/>
    <mergeCell ref="H23:I23"/>
    <mergeCell ref="N23:N25"/>
    <mergeCell ref="O23:Q23"/>
    <mergeCell ref="S23:T23"/>
    <mergeCell ref="O24:O25"/>
    <mergeCell ref="P24:P25"/>
    <mergeCell ref="Q24:Q25"/>
    <mergeCell ref="S24:S25"/>
    <mergeCell ref="T24:T25"/>
    <mergeCell ref="J29:J30"/>
    <mergeCell ref="K29:L29"/>
    <mergeCell ref="B30:C30"/>
    <mergeCell ref="D30:E30"/>
    <mergeCell ref="F30:G30"/>
    <mergeCell ref="H30:I30"/>
    <mergeCell ref="K30:L30"/>
    <mergeCell ref="N30:N32"/>
    <mergeCell ref="O30:Q30"/>
    <mergeCell ref="S30:T30"/>
    <mergeCell ref="O31:O32"/>
    <mergeCell ref="P31:P32"/>
    <mergeCell ref="Q31:Q32"/>
    <mergeCell ref="S31:T31"/>
    <mergeCell ref="B37:C37"/>
    <mergeCell ref="D37:E37"/>
    <mergeCell ref="F37:G37"/>
    <mergeCell ref="H37:I37"/>
    <mergeCell ref="N37:N39"/>
    <mergeCell ref="O37:Q37"/>
    <mergeCell ref="S37:T37"/>
    <mergeCell ref="O38:O39"/>
    <mergeCell ref="P38:P39"/>
    <mergeCell ref="Q38:Q39"/>
    <mergeCell ref="S38:S39"/>
    <mergeCell ref="T38:T39"/>
    <mergeCell ref="J43:J44"/>
    <mergeCell ref="K43:L43"/>
    <mergeCell ref="B44:C44"/>
    <mergeCell ref="D44:E44"/>
    <mergeCell ref="F44:G44"/>
    <mergeCell ref="H44:I44"/>
    <mergeCell ref="K44:L44"/>
    <mergeCell ref="N44:N46"/>
    <mergeCell ref="O44:Q44"/>
    <mergeCell ref="S44:T44"/>
    <mergeCell ref="O45:O46"/>
    <mergeCell ref="P45:P46"/>
    <mergeCell ref="Q45:Q46"/>
    <mergeCell ref="S45:T45"/>
    <mergeCell ref="B51:C51"/>
    <mergeCell ref="D51:E51"/>
    <mergeCell ref="F51:G51"/>
    <mergeCell ref="H51:I51"/>
    <mergeCell ref="N51:N53"/>
    <mergeCell ref="O51:Q51"/>
    <mergeCell ref="S51:T51"/>
    <mergeCell ref="O52:O53"/>
    <mergeCell ref="P52:P53"/>
    <mergeCell ref="Q52:Q53"/>
    <mergeCell ref="S52:S53"/>
    <mergeCell ref="T52:T53"/>
    <mergeCell ref="J57:J58"/>
    <mergeCell ref="K57:L57"/>
    <mergeCell ref="B58:C58"/>
    <mergeCell ref="D58:E58"/>
    <mergeCell ref="F58:G58"/>
    <mergeCell ref="H58:I58"/>
    <mergeCell ref="K58:L58"/>
    <mergeCell ref="N58:N60"/>
    <mergeCell ref="O58:Q58"/>
    <mergeCell ref="S58:T58"/>
    <mergeCell ref="O59:O60"/>
    <mergeCell ref="P59:P60"/>
    <mergeCell ref="Q59:Q60"/>
    <mergeCell ref="S59:T59"/>
    <mergeCell ref="B65:C65"/>
    <mergeCell ref="D65:E65"/>
    <mergeCell ref="F65:G65"/>
    <mergeCell ref="H65:I65"/>
    <mergeCell ref="N65:N67"/>
    <mergeCell ref="O65:Q65"/>
    <mergeCell ref="S65:T65"/>
    <mergeCell ref="O66:O67"/>
    <mergeCell ref="P66:P67"/>
    <mergeCell ref="Q66:Q67"/>
    <mergeCell ref="S66:S67"/>
    <mergeCell ref="T66:T67"/>
    <mergeCell ref="J71:J72"/>
    <mergeCell ref="K71:L71"/>
    <mergeCell ref="B72:C72"/>
    <mergeCell ref="D72:E72"/>
    <mergeCell ref="F72:G72"/>
    <mergeCell ref="H72:I72"/>
    <mergeCell ref="K72:L72"/>
    <mergeCell ref="N72:N74"/>
    <mergeCell ref="O72:Q72"/>
    <mergeCell ref="S72:T72"/>
    <mergeCell ref="O73:O74"/>
    <mergeCell ref="P73:P74"/>
    <mergeCell ref="Q73:Q74"/>
    <mergeCell ref="S73:T73"/>
    <mergeCell ref="B79:C79"/>
    <mergeCell ref="D79:E79"/>
    <mergeCell ref="F79:G79"/>
    <mergeCell ref="H79:I79"/>
    <mergeCell ref="N79:N81"/>
    <mergeCell ref="O79:Q79"/>
    <mergeCell ref="S79:T79"/>
    <mergeCell ref="O80:O81"/>
    <mergeCell ref="P80:P81"/>
    <mergeCell ref="Q80:Q81"/>
    <mergeCell ref="S80:S81"/>
    <mergeCell ref="T80:T81"/>
    <mergeCell ref="J85:J86"/>
    <mergeCell ref="K85:L85"/>
    <mergeCell ref="B86:C86"/>
    <mergeCell ref="D86:E86"/>
    <mergeCell ref="F86:G86"/>
    <mergeCell ref="H86:I86"/>
    <mergeCell ref="K86:L86"/>
    <mergeCell ref="N86:N88"/>
    <mergeCell ref="O86:Q86"/>
    <mergeCell ref="S86:T86"/>
    <mergeCell ref="O87:O88"/>
    <mergeCell ref="P87:P88"/>
    <mergeCell ref="Q87:Q88"/>
    <mergeCell ref="S87:T87"/>
    <mergeCell ref="B93:C93"/>
    <mergeCell ref="D93:E93"/>
    <mergeCell ref="F93:G93"/>
    <mergeCell ref="H93:I93"/>
    <mergeCell ref="N93:N95"/>
    <mergeCell ref="O93:Q93"/>
    <mergeCell ref="S99:T99"/>
    <mergeCell ref="S101:T101"/>
    <mergeCell ref="S102:T102"/>
    <mergeCell ref="S93:T93"/>
    <mergeCell ref="O94:O95"/>
    <mergeCell ref="P94:P95"/>
    <mergeCell ref="Q94:Q95"/>
    <mergeCell ref="S94:S95"/>
    <mergeCell ref="T94:T95"/>
  </mergeCells>
  <printOptions horizontalCentered="1"/>
  <pageMargins left="0.39375" right="0.39375" top="0" bottom="0" header="0.5118055555555555" footer="0.5118055555555555"/>
  <pageSetup horizontalDpi="300" verticalDpi="300" orientation="landscape" pageOrder="overThenDown" paperSiz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showGridLines="0" zoomScalePageLayoutView="0" workbookViewId="0" topLeftCell="A1">
      <selection activeCell="H7" sqref="H7"/>
    </sheetView>
  </sheetViews>
  <sheetFormatPr defaultColWidth="12.30859375" defaultRowHeight="23.25"/>
  <cols>
    <col min="1" max="1" width="21.69140625" style="222" customWidth="1"/>
    <col min="2" max="2" width="9.83984375" style="223" customWidth="1"/>
    <col min="3" max="4" width="8.1484375" style="223" customWidth="1"/>
    <col min="5" max="6" width="12.1484375" style="223" hidden="1" customWidth="1"/>
    <col min="7" max="14" width="8.4609375" style="223" customWidth="1"/>
    <col min="15" max="15" width="10.1484375" style="223" customWidth="1"/>
    <col min="16" max="16" width="9.1484375" style="223" customWidth="1"/>
    <col min="17" max="18" width="8.83984375" style="222" customWidth="1"/>
    <col min="19" max="16384" width="12.30859375" style="222" customWidth="1"/>
  </cols>
  <sheetData>
    <row r="1" spans="1:3" ht="12.75">
      <c r="A1" s="224" t="s">
        <v>155</v>
      </c>
      <c r="B1" s="225"/>
      <c r="C1" s="225"/>
    </row>
    <row r="3" spans="1:256" ht="11.25" customHeight="1">
      <c r="A3" s="350" t="s">
        <v>103</v>
      </c>
      <c r="B3" s="347" t="s">
        <v>156</v>
      </c>
      <c r="C3" s="347"/>
      <c r="D3" s="347"/>
      <c r="E3" s="341" t="s">
        <v>157</v>
      </c>
      <c r="F3" s="341"/>
      <c r="G3" s="341" t="s">
        <v>158</v>
      </c>
      <c r="H3" s="341"/>
      <c r="I3" s="341" t="s">
        <v>159</v>
      </c>
      <c r="J3" s="341"/>
      <c r="K3" s="341" t="s">
        <v>160</v>
      </c>
      <c r="L3" s="341"/>
      <c r="M3" s="341" t="s">
        <v>132</v>
      </c>
      <c r="N3" s="341"/>
      <c r="O3" s="342" t="s">
        <v>161</v>
      </c>
      <c r="P3" s="342"/>
      <c r="Q3" s="343" t="s">
        <v>162</v>
      </c>
      <c r="R3" s="34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350"/>
      <c r="B4" s="227" t="s">
        <v>163</v>
      </c>
      <c r="C4" s="226">
        <v>2019</v>
      </c>
      <c r="D4" s="228">
        <v>2020</v>
      </c>
      <c r="E4" s="226" t="s">
        <v>135</v>
      </c>
      <c r="F4" s="227" t="s">
        <v>136</v>
      </c>
      <c r="G4" s="226" t="s">
        <v>135</v>
      </c>
      <c r="H4" s="227" t="s">
        <v>136</v>
      </c>
      <c r="I4" s="226" t="s">
        <v>135</v>
      </c>
      <c r="J4" s="227" t="s">
        <v>136</v>
      </c>
      <c r="K4" s="226" t="s">
        <v>135</v>
      </c>
      <c r="L4" s="227" t="s">
        <v>136</v>
      </c>
      <c r="M4" s="226" t="s">
        <v>135</v>
      </c>
      <c r="N4" s="227" t="s">
        <v>136</v>
      </c>
      <c r="O4" s="229">
        <v>2020</v>
      </c>
      <c r="P4" s="226">
        <v>2019</v>
      </c>
      <c r="Q4" s="230">
        <v>2020</v>
      </c>
      <c r="R4" s="226">
        <v>2019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8" ht="18.75" customHeight="1">
      <c r="A5" s="231" t="s">
        <v>164</v>
      </c>
      <c r="B5" s="232">
        <v>431</v>
      </c>
      <c r="C5" s="233">
        <v>273</v>
      </c>
      <c r="D5" s="234">
        <v>380</v>
      </c>
      <c r="E5" s="235"/>
      <c r="F5" s="235"/>
      <c r="G5" s="235">
        <v>2012</v>
      </c>
      <c r="H5" s="235">
        <v>2305</v>
      </c>
      <c r="I5" s="235">
        <v>975</v>
      </c>
      <c r="J5" s="235">
        <v>1345</v>
      </c>
      <c r="K5" s="235">
        <v>417</v>
      </c>
      <c r="L5" s="236">
        <v>1037</v>
      </c>
      <c r="M5" s="235">
        <v>191</v>
      </c>
      <c r="N5" s="236">
        <v>5190</v>
      </c>
      <c r="O5" s="237">
        <v>13472</v>
      </c>
      <c r="P5" s="235">
        <v>14934</v>
      </c>
      <c r="Q5" s="238">
        <f aca="true" t="shared" si="0" ref="Q5:Q11">SUM(L5+N5)</f>
        <v>6227</v>
      </c>
      <c r="R5" s="239">
        <v>7236</v>
      </c>
    </row>
    <row r="6" spans="1:18" ht="18.75" customHeight="1">
      <c r="A6" s="231" t="s">
        <v>119</v>
      </c>
      <c r="B6" s="232">
        <v>448</v>
      </c>
      <c r="C6" s="233">
        <v>225</v>
      </c>
      <c r="D6" s="234">
        <v>278</v>
      </c>
      <c r="E6" s="235"/>
      <c r="F6" s="235"/>
      <c r="G6" s="235">
        <v>1780</v>
      </c>
      <c r="H6" s="235">
        <v>1630</v>
      </c>
      <c r="I6" s="235">
        <v>1129</v>
      </c>
      <c r="J6" s="235">
        <v>1218</v>
      </c>
      <c r="K6" s="235">
        <v>285</v>
      </c>
      <c r="L6" s="236">
        <v>953</v>
      </c>
      <c r="M6" s="235">
        <v>171</v>
      </c>
      <c r="N6" s="236">
        <v>5366</v>
      </c>
      <c r="O6" s="237">
        <v>12532</v>
      </c>
      <c r="P6" s="235">
        <v>14676</v>
      </c>
      <c r="Q6" s="238">
        <f t="shared" si="0"/>
        <v>6319</v>
      </c>
      <c r="R6" s="239">
        <v>7115</v>
      </c>
    </row>
    <row r="7" spans="1:18" ht="18.75" customHeight="1">
      <c r="A7" s="231" t="s">
        <v>120</v>
      </c>
      <c r="B7" s="232">
        <v>1880</v>
      </c>
      <c r="C7" s="233">
        <v>932</v>
      </c>
      <c r="D7" s="234">
        <v>1216</v>
      </c>
      <c r="E7" s="235"/>
      <c r="F7" s="235"/>
      <c r="G7" s="235">
        <v>2899</v>
      </c>
      <c r="H7" s="235">
        <v>4908</v>
      </c>
      <c r="I7" s="235">
        <v>1447</v>
      </c>
      <c r="J7" s="235">
        <v>3278</v>
      </c>
      <c r="K7" s="235">
        <v>550</v>
      </c>
      <c r="L7" s="236">
        <v>3399</v>
      </c>
      <c r="M7" s="235">
        <v>421</v>
      </c>
      <c r="N7" s="236">
        <v>14430</v>
      </c>
      <c r="O7" s="237">
        <v>31332</v>
      </c>
      <c r="P7" s="235">
        <v>34203</v>
      </c>
      <c r="Q7" s="238">
        <f t="shared" si="0"/>
        <v>17829</v>
      </c>
      <c r="R7" s="239">
        <v>19101</v>
      </c>
    </row>
    <row r="8" spans="1:18" ht="18.75" customHeight="1">
      <c r="A8" s="240" t="s">
        <v>165</v>
      </c>
      <c r="B8" s="241">
        <v>940</v>
      </c>
      <c r="C8" s="242">
        <v>519</v>
      </c>
      <c r="D8" s="243">
        <v>736</v>
      </c>
      <c r="E8" s="235"/>
      <c r="F8" s="235"/>
      <c r="G8" s="235">
        <v>2430</v>
      </c>
      <c r="H8" s="235">
        <v>4150</v>
      </c>
      <c r="I8" s="235">
        <v>1338</v>
      </c>
      <c r="J8" s="235">
        <v>3622</v>
      </c>
      <c r="K8" s="235">
        <v>1390</v>
      </c>
      <c r="L8" s="236">
        <v>3094</v>
      </c>
      <c r="M8" s="235">
        <v>461</v>
      </c>
      <c r="N8" s="236">
        <v>13635</v>
      </c>
      <c r="O8" s="237">
        <v>30120</v>
      </c>
      <c r="P8" s="235">
        <v>31397</v>
      </c>
      <c r="Q8" s="238">
        <f t="shared" si="0"/>
        <v>16729</v>
      </c>
      <c r="R8" s="239">
        <v>16944</v>
      </c>
    </row>
    <row r="9" spans="1:18" ht="18.75" customHeight="1">
      <c r="A9" s="231" t="s">
        <v>122</v>
      </c>
      <c r="B9" s="232">
        <v>980</v>
      </c>
      <c r="C9" s="242">
        <v>573</v>
      </c>
      <c r="D9" s="243">
        <v>759</v>
      </c>
      <c r="E9" s="235"/>
      <c r="F9" s="235"/>
      <c r="G9" s="235">
        <v>4235</v>
      </c>
      <c r="H9" s="235">
        <v>3513</v>
      </c>
      <c r="I9" s="235">
        <v>1849</v>
      </c>
      <c r="J9" s="235">
        <v>2804</v>
      </c>
      <c r="K9" s="235">
        <v>1016</v>
      </c>
      <c r="L9" s="236">
        <v>1957</v>
      </c>
      <c r="M9" s="235">
        <v>528</v>
      </c>
      <c r="N9" s="236">
        <v>11362</v>
      </c>
      <c r="O9" s="237">
        <v>27264</v>
      </c>
      <c r="P9" s="235">
        <v>30477</v>
      </c>
      <c r="Q9" s="238">
        <f t="shared" si="0"/>
        <v>13319</v>
      </c>
      <c r="R9" s="239">
        <v>15177</v>
      </c>
    </row>
    <row r="10" spans="1:18" ht="18.75" customHeight="1">
      <c r="A10" s="240" t="s">
        <v>123</v>
      </c>
      <c r="B10" s="241">
        <v>1417</v>
      </c>
      <c r="C10" s="242">
        <v>730</v>
      </c>
      <c r="D10" s="243">
        <v>998</v>
      </c>
      <c r="E10" s="235"/>
      <c r="F10" s="235"/>
      <c r="G10" s="235">
        <v>2659</v>
      </c>
      <c r="H10" s="235">
        <v>3777</v>
      </c>
      <c r="I10" s="235">
        <v>1650</v>
      </c>
      <c r="J10" s="235">
        <v>3190</v>
      </c>
      <c r="K10" s="235">
        <v>721</v>
      </c>
      <c r="L10" s="236">
        <v>2578</v>
      </c>
      <c r="M10" s="235">
        <v>405</v>
      </c>
      <c r="N10" s="236">
        <v>10494</v>
      </c>
      <c r="O10" s="237">
        <v>25474</v>
      </c>
      <c r="P10" s="235">
        <v>28198</v>
      </c>
      <c r="Q10" s="238">
        <f t="shared" si="0"/>
        <v>13072</v>
      </c>
      <c r="R10" s="239">
        <v>14544</v>
      </c>
    </row>
    <row r="11" spans="1:18" ht="18.75" customHeight="1">
      <c r="A11" s="231" t="s">
        <v>124</v>
      </c>
      <c r="B11" s="232">
        <v>1024</v>
      </c>
      <c r="C11" s="242">
        <v>642</v>
      </c>
      <c r="D11" s="243">
        <v>835</v>
      </c>
      <c r="E11" s="235"/>
      <c r="F11" s="235"/>
      <c r="G11" s="235">
        <v>4826</v>
      </c>
      <c r="H11" s="235">
        <v>5679</v>
      </c>
      <c r="I11" s="235">
        <v>3631</v>
      </c>
      <c r="J11" s="235">
        <v>4298</v>
      </c>
      <c r="K11" s="235">
        <v>811</v>
      </c>
      <c r="L11" s="236">
        <v>2981</v>
      </c>
      <c r="M11" s="235">
        <v>882</v>
      </c>
      <c r="N11" s="236">
        <v>14356</v>
      </c>
      <c r="O11" s="237">
        <v>37464</v>
      </c>
      <c r="P11" s="235">
        <v>40961</v>
      </c>
      <c r="Q11" s="238">
        <f t="shared" si="0"/>
        <v>17337</v>
      </c>
      <c r="R11" s="239">
        <v>19811</v>
      </c>
    </row>
    <row r="12" spans="1:18" ht="18.75" customHeight="1">
      <c r="A12" s="244" t="s">
        <v>104</v>
      </c>
      <c r="B12" s="245">
        <f aca="true" t="shared" si="1" ref="B12:R12">SUM(B5:B11)</f>
        <v>7120</v>
      </c>
      <c r="C12" s="245">
        <f t="shared" si="1"/>
        <v>3894</v>
      </c>
      <c r="D12" s="246">
        <f t="shared" si="1"/>
        <v>5202</v>
      </c>
      <c r="E12" s="247">
        <f t="shared" si="1"/>
        <v>0</v>
      </c>
      <c r="F12" s="247">
        <f t="shared" si="1"/>
        <v>0</v>
      </c>
      <c r="G12" s="245">
        <f t="shared" si="1"/>
        <v>20841</v>
      </c>
      <c r="H12" s="245">
        <f t="shared" si="1"/>
        <v>25962</v>
      </c>
      <c r="I12" s="245">
        <f t="shared" si="1"/>
        <v>12019</v>
      </c>
      <c r="J12" s="245">
        <f t="shared" si="1"/>
        <v>19755</v>
      </c>
      <c r="K12" s="245">
        <f t="shared" si="1"/>
        <v>5190</v>
      </c>
      <c r="L12" s="247">
        <f t="shared" si="1"/>
        <v>15999</v>
      </c>
      <c r="M12" s="245">
        <f t="shared" si="1"/>
        <v>3059</v>
      </c>
      <c r="N12" s="247">
        <f t="shared" si="1"/>
        <v>74833</v>
      </c>
      <c r="O12" s="246">
        <f t="shared" si="1"/>
        <v>177658</v>
      </c>
      <c r="P12" s="245">
        <f t="shared" si="1"/>
        <v>194846</v>
      </c>
      <c r="Q12" s="246">
        <f t="shared" si="1"/>
        <v>90832</v>
      </c>
      <c r="R12" s="245">
        <f t="shared" si="1"/>
        <v>99928</v>
      </c>
    </row>
    <row r="13" spans="3:16" ht="12.75">
      <c r="C13" s="344">
        <f>SUM(D12-C12)</f>
        <v>1308</v>
      </c>
      <c r="D13" s="344"/>
      <c r="L13" s="248"/>
      <c r="M13" s="249"/>
      <c r="N13" s="250" t="s">
        <v>166</v>
      </c>
      <c r="O13" s="345">
        <f>SUM(O12-P12)</f>
        <v>-17188</v>
      </c>
      <c r="P13" s="345"/>
    </row>
    <row r="14" spans="4:16" ht="12.75">
      <c r="D14" s="251"/>
      <c r="L14"/>
      <c r="M14"/>
      <c r="N14"/>
      <c r="O14" s="346">
        <f>SUM(O12/P12-1)</f>
        <v>-0.08821325559672766</v>
      </c>
      <c r="P14" s="346"/>
    </row>
    <row r="15" spans="1:8" ht="12.75">
      <c r="A15" s="348" t="s">
        <v>103</v>
      </c>
      <c r="B15" s="349" t="s">
        <v>76</v>
      </c>
      <c r="C15" s="349"/>
      <c r="D15" s="252"/>
      <c r="G15" s="349" t="s">
        <v>167</v>
      </c>
      <c r="H15" s="349"/>
    </row>
    <row r="16" spans="1:8" ht="22.5">
      <c r="A16" s="348"/>
      <c r="B16" s="253" t="s">
        <v>168</v>
      </c>
      <c r="C16" s="254" t="s">
        <v>169</v>
      </c>
      <c r="D16" s="255"/>
      <c r="G16" s="253" t="s">
        <v>168</v>
      </c>
      <c r="H16" s="254" t="s">
        <v>169</v>
      </c>
    </row>
    <row r="17" spans="1:8" ht="12.75">
      <c r="A17" s="231" t="s">
        <v>164</v>
      </c>
      <c r="B17" s="235">
        <v>5825</v>
      </c>
      <c r="C17" s="256">
        <f>Bovinos_e_Comerc!P11</f>
        <v>2.1866094420600857</v>
      </c>
      <c r="D17" s="257"/>
      <c r="G17" s="235">
        <v>6000</v>
      </c>
      <c r="H17" s="256">
        <v>2.122833333333333</v>
      </c>
    </row>
    <row r="18" spans="1:8" ht="12.75">
      <c r="A18" s="231" t="s">
        <v>119</v>
      </c>
      <c r="B18" s="235">
        <v>6330</v>
      </c>
      <c r="C18" s="258">
        <f>Bovinos_e_Comerc!P26</f>
        <v>1.7406224328593995</v>
      </c>
      <c r="D18" s="257"/>
      <c r="G18" s="235">
        <v>6400</v>
      </c>
      <c r="H18" s="258">
        <v>1.721584375</v>
      </c>
    </row>
    <row r="19" spans="1:8" ht="12.75">
      <c r="A19" s="231" t="s">
        <v>120</v>
      </c>
      <c r="B19" s="235">
        <v>9409</v>
      </c>
      <c r="C19" s="258">
        <f>Bovinos_e_Comerc!P41</f>
        <v>3.111595281113827</v>
      </c>
      <c r="D19" s="257"/>
      <c r="G19" s="235">
        <v>9500</v>
      </c>
      <c r="H19" s="258">
        <v>3.0817894736842106</v>
      </c>
    </row>
    <row r="20" spans="1:8" ht="12.75">
      <c r="A20" s="240" t="s">
        <v>165</v>
      </c>
      <c r="B20" s="235">
        <v>9695</v>
      </c>
      <c r="C20" s="258">
        <f>Bovinos_e_Comerc!P56</f>
        <v>2.986178442496132</v>
      </c>
      <c r="D20" s="259"/>
      <c r="G20" s="235">
        <v>9800</v>
      </c>
      <c r="H20" s="258">
        <v>2.954183673469388</v>
      </c>
    </row>
    <row r="21" spans="1:8" ht="12.75">
      <c r="A21" s="231" t="s">
        <v>122</v>
      </c>
      <c r="B21" s="235">
        <v>10465</v>
      </c>
      <c r="C21" s="258">
        <f>Bovinos_e_Comerc!P71</f>
        <v>2.5866220735785954</v>
      </c>
      <c r="D21" s="259"/>
      <c r="G21" s="235">
        <v>11200</v>
      </c>
      <c r="H21" s="258">
        <v>2.416875</v>
      </c>
    </row>
    <row r="22" spans="1:8" ht="12.75">
      <c r="A22" s="240" t="s">
        <v>123</v>
      </c>
      <c r="B22" s="235">
        <v>8300</v>
      </c>
      <c r="C22" s="258">
        <f>Bovinos_e_Comerc!P86</f>
        <v>2.9197590361445784</v>
      </c>
      <c r="D22" s="259"/>
      <c r="G22" s="235">
        <v>9000</v>
      </c>
      <c r="H22" s="258">
        <v>2.6926666666666668</v>
      </c>
    </row>
    <row r="23" spans="1:8" ht="12.75">
      <c r="A23" s="231" t="s">
        <v>124</v>
      </c>
      <c r="B23" s="235">
        <v>12395</v>
      </c>
      <c r="C23" s="258">
        <f>Bovinos_e_Comerc!P101</f>
        <v>2.9354062121823317</v>
      </c>
      <c r="D23" s="259"/>
      <c r="G23" s="235">
        <v>12500</v>
      </c>
      <c r="H23" s="258">
        <v>2.9107488</v>
      </c>
    </row>
    <row r="24" spans="1:8" ht="12.75">
      <c r="A24" s="244" t="s">
        <v>104</v>
      </c>
      <c r="B24" s="245">
        <f>SUM(B17:B23)</f>
        <v>62419</v>
      </c>
      <c r="C24" s="245"/>
      <c r="D24" s="260"/>
      <c r="G24" s="245">
        <v>64400</v>
      </c>
      <c r="H24" s="245"/>
    </row>
  </sheetData>
  <sheetProtection/>
  <mergeCells count="15">
    <mergeCell ref="K3:L3"/>
    <mergeCell ref="A15:A16"/>
    <mergeCell ref="B15:C15"/>
    <mergeCell ref="G15:H15"/>
    <mergeCell ref="A3:A4"/>
    <mergeCell ref="M3:N3"/>
    <mergeCell ref="O3:P3"/>
    <mergeCell ref="Q3:R3"/>
    <mergeCell ref="C13:D13"/>
    <mergeCell ref="O13:P13"/>
    <mergeCell ref="O14:P14"/>
    <mergeCell ref="B3:D3"/>
    <mergeCell ref="E3:F3"/>
    <mergeCell ref="G3:H3"/>
    <mergeCell ref="I3:J3"/>
  </mergeCells>
  <printOptions horizontalCentered="1"/>
  <pageMargins left="0.39375" right="0.39375" top="0" bottom="0" header="0.5118055555555555" footer="0.5118055555555555"/>
  <pageSetup horizontalDpi="300" verticalDpi="300" orientation="landscape" pageOrder="overThenDown" paperSize="7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X38"/>
  <sheetViews>
    <sheetView showGridLines="0" zoomScalePageLayoutView="0" workbookViewId="0" topLeftCell="A1">
      <selection activeCell="E22" sqref="E22"/>
    </sheetView>
  </sheetViews>
  <sheetFormatPr defaultColWidth="8" defaultRowHeight="23.25"/>
  <cols>
    <col min="1" max="1" width="31.69140625" style="1" customWidth="1"/>
    <col min="2" max="9" width="10.4609375" style="1" customWidth="1"/>
    <col min="10" max="10" width="13" style="1" customWidth="1"/>
    <col min="11" max="14" width="10.4609375" style="1" customWidth="1"/>
    <col min="15" max="16" width="8" style="1" customWidth="1"/>
    <col min="17" max="17" width="10.4609375" style="1" customWidth="1"/>
    <col min="18" max="18" width="7.83984375" style="1" customWidth="1"/>
    <col min="19" max="19" width="10" style="1" customWidth="1"/>
    <col min="20" max="20" width="11" style="1" customWidth="1"/>
    <col min="21" max="16384" width="8" style="1" customWidth="1"/>
  </cols>
  <sheetData>
    <row r="1" spans="1:24" ht="11.25">
      <c r="A1" s="39" t="s">
        <v>0</v>
      </c>
      <c r="B1" s="2"/>
      <c r="C1" s="2"/>
      <c r="D1" s="2"/>
      <c r="E1" s="11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>
      <c r="A2" s="39" t="s">
        <v>2</v>
      </c>
      <c r="B2" s="2"/>
      <c r="C2" s="2"/>
      <c r="D2" s="2"/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9" t="s">
        <v>3</v>
      </c>
      <c r="B3" s="2"/>
      <c r="C3" s="2"/>
      <c r="D3" s="2"/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61"/>
      <c r="S3" s="261"/>
      <c r="T3" s="261"/>
      <c r="U3" s="261"/>
      <c r="V3" s="2"/>
      <c r="W3" s="2"/>
      <c r="X3" s="2"/>
    </row>
    <row r="4" spans="1:24" ht="12.75">
      <c r="A4" s="2"/>
      <c r="B4" s="2"/>
      <c r="C4" s="2"/>
      <c r="D4" s="2"/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61"/>
      <c r="S4" s="261"/>
      <c r="T4" s="261"/>
      <c r="U4" s="261"/>
      <c r="V4" s="2"/>
      <c r="W4" s="2"/>
      <c r="X4" s="2"/>
    </row>
    <row r="5" spans="1:24" ht="15.75">
      <c r="A5" s="114" t="s">
        <v>170</v>
      </c>
      <c r="B5" s="115"/>
      <c r="C5" s="115"/>
      <c r="D5" s="115"/>
      <c r="E5" s="117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261"/>
      <c r="S5" s="261"/>
      <c r="T5" s="261"/>
      <c r="U5" s="261"/>
      <c r="V5" s="2"/>
      <c r="W5" s="2"/>
      <c r="X5" s="2"/>
    </row>
    <row r="6" spans="1:24" ht="11.25">
      <c r="A6" s="2"/>
      <c r="B6" s="2"/>
      <c r="C6" s="2"/>
      <c r="D6" s="2"/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8" customHeight="1">
      <c r="B7" s="262" t="s">
        <v>171</v>
      </c>
      <c r="C7" s="262" t="s">
        <v>172</v>
      </c>
      <c r="D7" s="262" t="s">
        <v>173</v>
      </c>
      <c r="E7" s="262" t="s">
        <v>174</v>
      </c>
      <c r="F7" s="262" t="s">
        <v>175</v>
      </c>
      <c r="G7" s="262" t="s">
        <v>176</v>
      </c>
      <c r="H7" s="262" t="s">
        <v>177</v>
      </c>
      <c r="I7" s="262" t="s">
        <v>178</v>
      </c>
      <c r="J7" s="262" t="s">
        <v>179</v>
      </c>
      <c r="K7" s="262" t="s">
        <v>180</v>
      </c>
      <c r="L7" s="262" t="s">
        <v>181</v>
      </c>
      <c r="M7" s="262" t="s">
        <v>182</v>
      </c>
      <c r="N7" s="262" t="s">
        <v>104</v>
      </c>
      <c r="O7" s="2"/>
      <c r="P7" s="9"/>
      <c r="Q7" s="9"/>
      <c r="R7" s="9"/>
      <c r="S7" s="2"/>
      <c r="T7" s="2"/>
      <c r="U7" s="2"/>
      <c r="V7" s="9"/>
      <c r="W7" s="9"/>
      <c r="X7" s="9"/>
    </row>
    <row r="8" spans="1:24" ht="12" customHeight="1">
      <c r="A8" s="263" t="s">
        <v>183</v>
      </c>
      <c r="B8" s="264">
        <v>0.0865442000439037</v>
      </c>
      <c r="C8" s="264">
        <v>0.0776748134169598</v>
      </c>
      <c r="D8" s="264">
        <v>0.080282708146031</v>
      </c>
      <c r="E8" s="264">
        <v>0.0737343455341798</v>
      </c>
      <c r="F8" s="264">
        <v>0.0740918240692675</v>
      </c>
      <c r="G8" s="264">
        <v>0.0757939477312627</v>
      </c>
      <c r="H8" s="264">
        <v>0.0847349769550822</v>
      </c>
      <c r="I8" s="264">
        <v>0.0895659949127433</v>
      </c>
      <c r="J8" s="264">
        <v>0.0879857087640515</v>
      </c>
      <c r="K8" s="264">
        <v>0.0897785344894895</v>
      </c>
      <c r="L8" s="264">
        <v>0.08837140153817989</v>
      </c>
      <c r="M8" s="264">
        <v>0.0914415443988492</v>
      </c>
      <c r="N8" s="264"/>
      <c r="O8" s="9"/>
      <c r="P8" s="9"/>
      <c r="Q8" s="9"/>
      <c r="R8" s="9"/>
      <c r="S8" s="9"/>
      <c r="T8" s="2"/>
      <c r="U8" s="2"/>
      <c r="V8" s="9"/>
      <c r="W8" s="9"/>
      <c r="X8" s="9"/>
    </row>
    <row r="9" spans="1:24" ht="12" customHeight="1">
      <c r="A9" s="263" t="s">
        <v>184</v>
      </c>
      <c r="B9" s="265">
        <v>0.0574373803700055</v>
      </c>
      <c r="C9" s="265">
        <v>0.0538158856819229</v>
      </c>
      <c r="D9" s="265">
        <v>0.063671509380214</v>
      </c>
      <c r="E9" s="265">
        <v>0.0695881868964621</v>
      </c>
      <c r="F9" s="265">
        <v>0.18014190364013702</v>
      </c>
      <c r="G9" s="265">
        <v>0.10745516652433801</v>
      </c>
      <c r="H9" s="265">
        <v>0</v>
      </c>
      <c r="I9" s="265">
        <v>0</v>
      </c>
      <c r="J9" s="265">
        <v>0</v>
      </c>
      <c r="K9" s="265">
        <v>0</v>
      </c>
      <c r="L9" s="265">
        <v>0</v>
      </c>
      <c r="M9" s="265">
        <v>0</v>
      </c>
      <c r="N9" s="265">
        <f>+N11/N10-1</f>
        <v>0.040885265145469196</v>
      </c>
      <c r="O9" s="9"/>
      <c r="P9" s="261"/>
      <c r="Q9" s="9"/>
      <c r="R9" s="9"/>
      <c r="S9" s="9"/>
      <c r="T9" s="2"/>
      <c r="U9" s="2"/>
      <c r="V9" s="9"/>
      <c r="W9" s="9"/>
      <c r="X9" s="9"/>
    </row>
    <row r="10" spans="1:24" ht="12" customHeight="1">
      <c r="A10" s="263" t="s">
        <v>185</v>
      </c>
      <c r="B10" s="266">
        <v>42154.659485267</v>
      </c>
      <c r="C10" s="266">
        <v>37834.4858293509</v>
      </c>
      <c r="D10" s="266">
        <v>39104.7606048026</v>
      </c>
      <c r="E10" s="266">
        <v>35915.1303817651</v>
      </c>
      <c r="F10" s="266">
        <v>36089.2539615344</v>
      </c>
      <c r="G10" s="266">
        <v>36918.3383292543</v>
      </c>
      <c r="H10" s="266">
        <v>41273.4082494423</v>
      </c>
      <c r="I10" s="266">
        <v>43626.5401389173</v>
      </c>
      <c r="J10" s="266">
        <v>42856.8013874632</v>
      </c>
      <c r="K10" s="266">
        <v>43730.0656609087</v>
      </c>
      <c r="L10" s="266">
        <v>43044.6677904233</v>
      </c>
      <c r="M10" s="266">
        <v>44540.098180871</v>
      </c>
      <c r="N10" s="266">
        <v>487088.21</v>
      </c>
      <c r="O10" s="2"/>
      <c r="P10" s="261"/>
      <c r="Q10" s="2"/>
      <c r="R10" s="2"/>
      <c r="S10" s="2"/>
      <c r="T10" s="2"/>
      <c r="U10" s="2"/>
      <c r="V10" s="2"/>
      <c r="W10" s="2"/>
      <c r="X10" s="2"/>
    </row>
    <row r="11" spans="1:24" ht="12" customHeight="1">
      <c r="A11" s="263" t="s">
        <v>186</v>
      </c>
      <c r="B11" s="266">
        <f aca="true" t="shared" si="0" ref="B11:M11">+B10*(1+B9)</f>
        <v>44575.91269649034</v>
      </c>
      <c r="C11" s="266">
        <f t="shared" si="0"/>
        <v>39870.58219357758</v>
      </c>
      <c r="D11" s="266">
        <f t="shared" si="0"/>
        <v>41594.619736462315</v>
      </c>
      <c r="E11" s="266">
        <f t="shared" si="0"/>
        <v>38414.39918718217</v>
      </c>
      <c r="F11" s="266">
        <f t="shared" si="0"/>
        <v>42590.440871117564</v>
      </c>
      <c r="G11" s="266">
        <f t="shared" si="0"/>
        <v>40885.40452222617</v>
      </c>
      <c r="H11" s="266">
        <f t="shared" si="0"/>
        <v>41273.4082494423</v>
      </c>
      <c r="I11" s="266">
        <f t="shared" si="0"/>
        <v>43626.5401389173</v>
      </c>
      <c r="J11" s="266">
        <f t="shared" si="0"/>
        <v>42856.8013874632</v>
      </c>
      <c r="K11" s="266">
        <f t="shared" si="0"/>
        <v>43730.0656609087</v>
      </c>
      <c r="L11" s="266">
        <f t="shared" si="0"/>
        <v>43044.6677904233</v>
      </c>
      <c r="M11" s="266">
        <f t="shared" si="0"/>
        <v>44540.098180871</v>
      </c>
      <c r="N11" s="266">
        <f>+SUM(B11:M11)</f>
        <v>507002.940615082</v>
      </c>
      <c r="O11" s="2"/>
      <c r="P11" s="261"/>
      <c r="Q11" s="2"/>
      <c r="R11" s="2"/>
      <c r="S11" s="2"/>
      <c r="T11" s="2"/>
      <c r="U11" s="2"/>
      <c r="V11" s="2"/>
      <c r="W11" s="2"/>
      <c r="X11" s="2"/>
    </row>
    <row r="12" spans="1:24" ht="12.7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</row>
    <row r="13" spans="1:24" ht="30" customHeight="1">
      <c r="A13" s="267"/>
      <c r="B13" s="262" t="s">
        <v>187</v>
      </c>
      <c r="C13" s="262" t="s">
        <v>188</v>
      </c>
      <c r="D13" s="125" t="s">
        <v>189</v>
      </c>
      <c r="E13" s="125" t="s">
        <v>190</v>
      </c>
      <c r="F13" s="262" t="s">
        <v>191</v>
      </c>
      <c r="G13" s="125" t="s">
        <v>192</v>
      </c>
      <c r="H13" s="125" t="s">
        <v>193</v>
      </c>
      <c r="I13" s="125" t="s">
        <v>194</v>
      </c>
      <c r="J13" s="125" t="s">
        <v>195</v>
      </c>
      <c r="K13" s="262" t="s">
        <v>196</v>
      </c>
      <c r="L13" s="125" t="s">
        <v>197</v>
      </c>
      <c r="M13" s="125" t="s">
        <v>198</v>
      </c>
      <c r="N13" s="262" t="s">
        <v>199</v>
      </c>
      <c r="O13" s="262" t="s">
        <v>200</v>
      </c>
      <c r="P13" s="262" t="s">
        <v>201</v>
      </c>
      <c r="Q13" s="125" t="s">
        <v>202</v>
      </c>
      <c r="R13" s="125" t="s">
        <v>203</v>
      </c>
      <c r="S13" s="125" t="s">
        <v>204</v>
      </c>
      <c r="T13" s="125" t="s">
        <v>205</v>
      </c>
      <c r="U13" s="262" t="s">
        <v>206</v>
      </c>
      <c r="V13" s="262" t="s">
        <v>104</v>
      </c>
      <c r="W13" s="262"/>
      <c r="X13" s="262" t="s">
        <v>104</v>
      </c>
    </row>
    <row r="14" spans="1:24" ht="11.25">
      <c r="A14" s="263" t="s">
        <v>207</v>
      </c>
      <c r="B14" s="266"/>
      <c r="C14" s="266"/>
      <c r="D14" s="266"/>
      <c r="E14" s="266"/>
      <c r="F14" s="266"/>
      <c r="G14" s="266">
        <v>1700</v>
      </c>
      <c r="H14" s="266">
        <v>933</v>
      </c>
      <c r="I14" s="266"/>
      <c r="J14" s="266">
        <v>242</v>
      </c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>
        <f aca="true" t="shared" si="1" ref="V14:V37">SUM(B14:K14)</f>
        <v>2875</v>
      </c>
      <c r="W14" s="264">
        <v>0.04</v>
      </c>
      <c r="X14" s="266">
        <f aca="true" t="shared" si="2" ref="X14:X37">V14*W14+V14</f>
        <v>2990</v>
      </c>
    </row>
    <row r="15" spans="1:24" ht="11.25">
      <c r="A15" s="263" t="s">
        <v>208</v>
      </c>
      <c r="B15" s="266"/>
      <c r="C15" s="266"/>
      <c r="D15" s="266"/>
      <c r="E15" s="266"/>
      <c r="F15" s="266"/>
      <c r="G15" s="266">
        <v>35</v>
      </c>
      <c r="H15" s="266">
        <v>1510</v>
      </c>
      <c r="I15" s="266"/>
      <c r="J15" s="266">
        <v>172</v>
      </c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>
        <f t="shared" si="1"/>
        <v>1717</v>
      </c>
      <c r="W15" s="264">
        <v>0.2</v>
      </c>
      <c r="X15" s="266">
        <f t="shared" si="2"/>
        <v>2060.4</v>
      </c>
    </row>
    <row r="16" spans="1:24" ht="11.25">
      <c r="A16" s="263" t="s">
        <v>209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>
        <f t="shared" si="1"/>
        <v>0</v>
      </c>
      <c r="W16" s="264"/>
      <c r="X16" s="266">
        <f t="shared" si="2"/>
        <v>0</v>
      </c>
    </row>
    <row r="17" spans="1:24" ht="11.25">
      <c r="A17" s="263" t="s">
        <v>210</v>
      </c>
      <c r="B17" s="266">
        <v>1583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>
        <f t="shared" si="1"/>
        <v>1583</v>
      </c>
      <c r="W17" s="264">
        <v>0.4</v>
      </c>
      <c r="X17" s="266">
        <f t="shared" si="2"/>
        <v>2216.2</v>
      </c>
    </row>
    <row r="18" spans="1:24" ht="11.25">
      <c r="A18" s="263" t="s">
        <v>211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>
        <v>716</v>
      </c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>
        <f t="shared" si="1"/>
        <v>716</v>
      </c>
      <c r="W18" s="264">
        <v>0.30000000000000004</v>
      </c>
      <c r="X18" s="266">
        <f t="shared" si="2"/>
        <v>930.8000000000001</v>
      </c>
    </row>
    <row r="19" spans="1:24" ht="11.25">
      <c r="A19" s="263" t="s">
        <v>212</v>
      </c>
      <c r="B19" s="266">
        <v>21</v>
      </c>
      <c r="C19" s="266"/>
      <c r="D19" s="266">
        <v>159</v>
      </c>
      <c r="E19" s="266"/>
      <c r="F19" s="266"/>
      <c r="G19" s="266">
        <v>834</v>
      </c>
      <c r="H19" s="266"/>
      <c r="I19" s="266">
        <v>96</v>
      </c>
      <c r="J19" s="266"/>
      <c r="K19" s="266">
        <v>3095</v>
      </c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>
        <f t="shared" si="1"/>
        <v>4205</v>
      </c>
      <c r="W19" s="264">
        <v>0.05</v>
      </c>
      <c r="X19" s="266">
        <f t="shared" si="2"/>
        <v>4415.25</v>
      </c>
    </row>
    <row r="20" spans="1:24" ht="11.25">
      <c r="A20" s="263" t="s">
        <v>213</v>
      </c>
      <c r="B20" s="266">
        <v>2637</v>
      </c>
      <c r="C20" s="266">
        <v>724</v>
      </c>
      <c r="D20" s="266"/>
      <c r="E20" s="266"/>
      <c r="F20" s="266">
        <v>34</v>
      </c>
      <c r="G20" s="266">
        <v>5460</v>
      </c>
      <c r="H20" s="266">
        <v>2287</v>
      </c>
      <c r="I20" s="266">
        <v>3185</v>
      </c>
      <c r="J20" s="266">
        <v>284</v>
      </c>
      <c r="K20" s="266">
        <v>3319</v>
      </c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>
        <f t="shared" si="1"/>
        <v>17930</v>
      </c>
      <c r="W20" s="264">
        <v>0.0425</v>
      </c>
      <c r="X20" s="266">
        <f t="shared" si="2"/>
        <v>18692.025</v>
      </c>
    </row>
    <row r="21" spans="1:24" ht="11.25">
      <c r="A21" s="263" t="s">
        <v>214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>
        <f t="shared" si="1"/>
        <v>0</v>
      </c>
      <c r="W21" s="264"/>
      <c r="X21" s="266">
        <f t="shared" si="2"/>
        <v>0</v>
      </c>
    </row>
    <row r="22" spans="1:24" ht="11.25">
      <c r="A22" s="263" t="s">
        <v>215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>
        <f t="shared" si="1"/>
        <v>0</v>
      </c>
      <c r="W22" s="264"/>
      <c r="X22" s="266">
        <f t="shared" si="2"/>
        <v>0</v>
      </c>
    </row>
    <row r="23" spans="1:24" ht="11.25">
      <c r="A23" s="263" t="s">
        <v>216</v>
      </c>
      <c r="B23" s="266"/>
      <c r="C23" s="266"/>
      <c r="D23" s="266"/>
      <c r="E23" s="266"/>
      <c r="F23" s="266"/>
      <c r="G23" s="266"/>
      <c r="H23" s="266"/>
      <c r="I23" s="266"/>
      <c r="J23" s="266">
        <v>200</v>
      </c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>
        <f t="shared" si="1"/>
        <v>200</v>
      </c>
      <c r="W23" s="264">
        <v>0.25</v>
      </c>
      <c r="X23" s="266">
        <f t="shared" si="2"/>
        <v>250</v>
      </c>
    </row>
    <row r="24" spans="1:24" ht="11.25">
      <c r="A24" s="263" t="s">
        <v>217</v>
      </c>
      <c r="B24" s="266"/>
      <c r="C24" s="266"/>
      <c r="D24" s="266"/>
      <c r="E24" s="266"/>
      <c r="F24" s="266"/>
      <c r="G24" s="266"/>
      <c r="H24" s="266"/>
      <c r="I24" s="266">
        <v>1820</v>
      </c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>
        <f t="shared" si="1"/>
        <v>1820</v>
      </c>
      <c r="W24" s="264">
        <v>0.25</v>
      </c>
      <c r="X24" s="266">
        <f t="shared" si="2"/>
        <v>2275</v>
      </c>
    </row>
    <row r="25" spans="1:24" ht="11.25">
      <c r="A25" s="263" t="s">
        <v>218</v>
      </c>
      <c r="B25" s="266">
        <v>250</v>
      </c>
      <c r="C25" s="266">
        <v>200</v>
      </c>
      <c r="D25" s="266">
        <v>250</v>
      </c>
      <c r="E25" s="266">
        <v>150</v>
      </c>
      <c r="F25" s="266">
        <v>250</v>
      </c>
      <c r="G25" s="266">
        <v>900</v>
      </c>
      <c r="H25" s="266">
        <v>650</v>
      </c>
      <c r="I25" s="266">
        <v>1200</v>
      </c>
      <c r="J25" s="266">
        <v>180</v>
      </c>
      <c r="K25" s="266">
        <v>250</v>
      </c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>
        <f t="shared" si="1"/>
        <v>4280</v>
      </c>
      <c r="W25" s="264"/>
      <c r="X25" s="266">
        <f t="shared" si="2"/>
        <v>4280</v>
      </c>
    </row>
    <row r="26" spans="1:24" ht="11.25">
      <c r="A26" s="263" t="s">
        <v>219</v>
      </c>
      <c r="B26" s="266"/>
      <c r="C26" s="266"/>
      <c r="D26" s="266">
        <v>364</v>
      </c>
      <c r="E26" s="266"/>
      <c r="F26" s="266">
        <v>1549</v>
      </c>
      <c r="G26" s="266"/>
      <c r="H26" s="266"/>
      <c r="I26" s="266">
        <v>193</v>
      </c>
      <c r="J26" s="266"/>
      <c r="K26" s="266">
        <v>1155</v>
      </c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>
        <f t="shared" si="1"/>
        <v>3261</v>
      </c>
      <c r="W26" s="264">
        <v>0.375</v>
      </c>
      <c r="X26" s="266">
        <f t="shared" si="2"/>
        <v>4483.875</v>
      </c>
    </row>
    <row r="27" spans="1:24" ht="11.25">
      <c r="A27" s="263" t="s">
        <v>220</v>
      </c>
      <c r="B27" s="266"/>
      <c r="C27" s="266"/>
      <c r="D27" s="266"/>
      <c r="E27" s="266"/>
      <c r="F27" s="266"/>
      <c r="G27" s="266"/>
      <c r="H27" s="266"/>
      <c r="I27" s="266">
        <v>5475</v>
      </c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>
        <f t="shared" si="1"/>
        <v>5475</v>
      </c>
      <c r="W27" s="264">
        <v>0.05</v>
      </c>
      <c r="X27" s="266">
        <f t="shared" si="2"/>
        <v>5748.75</v>
      </c>
    </row>
    <row r="28" spans="1:24" ht="11.25">
      <c r="A28" s="263" t="s">
        <v>221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>
        <f t="shared" si="1"/>
        <v>0</v>
      </c>
      <c r="W28" s="264"/>
      <c r="X28" s="266">
        <f t="shared" si="2"/>
        <v>0</v>
      </c>
    </row>
    <row r="29" spans="1:24" ht="11.25">
      <c r="A29" s="263" t="s">
        <v>222</v>
      </c>
      <c r="B29" s="266"/>
      <c r="C29" s="266"/>
      <c r="D29" s="266"/>
      <c r="E29" s="266"/>
      <c r="F29" s="266">
        <v>3450</v>
      </c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>
        <f t="shared" si="1"/>
        <v>3450</v>
      </c>
      <c r="W29" s="264">
        <v>0.35</v>
      </c>
      <c r="X29" s="266">
        <f t="shared" si="2"/>
        <v>4657.5</v>
      </c>
    </row>
    <row r="30" spans="1:24" ht="11.25">
      <c r="A30" s="263" t="s">
        <v>223</v>
      </c>
      <c r="B30" s="266"/>
      <c r="C30" s="266">
        <v>570</v>
      </c>
      <c r="D30" s="266"/>
      <c r="E30" s="266"/>
      <c r="F30" s="266"/>
      <c r="G30" s="266"/>
      <c r="H30" s="266"/>
      <c r="I30" s="266">
        <v>1350</v>
      </c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>
        <f t="shared" si="1"/>
        <v>1920</v>
      </c>
      <c r="W30" s="264">
        <v>0.075</v>
      </c>
      <c r="X30" s="266">
        <f t="shared" si="2"/>
        <v>2064</v>
      </c>
    </row>
    <row r="31" spans="1:24" ht="11.25">
      <c r="A31" s="263" t="s">
        <v>224</v>
      </c>
      <c r="B31" s="266"/>
      <c r="C31" s="266"/>
      <c r="D31" s="266">
        <v>3552</v>
      </c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>
        <f t="shared" si="1"/>
        <v>3552</v>
      </c>
      <c r="W31" s="264">
        <v>0.2</v>
      </c>
      <c r="X31" s="266">
        <f t="shared" si="2"/>
        <v>4262.4</v>
      </c>
    </row>
    <row r="32" spans="1:24" ht="11.25">
      <c r="A32" s="263" t="s">
        <v>225</v>
      </c>
      <c r="B32" s="266"/>
      <c r="C32" s="266">
        <v>104</v>
      </c>
      <c r="D32" s="266">
        <v>77</v>
      </c>
      <c r="E32" s="266"/>
      <c r="F32" s="266">
        <v>529</v>
      </c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>
        <f t="shared" si="1"/>
        <v>710</v>
      </c>
      <c r="W32" s="264">
        <v>0.2</v>
      </c>
      <c r="X32" s="266">
        <f t="shared" si="2"/>
        <v>852</v>
      </c>
    </row>
    <row r="33" spans="1:24" ht="11.25">
      <c r="A33" s="263" t="s">
        <v>226</v>
      </c>
      <c r="B33" s="266">
        <v>929</v>
      </c>
      <c r="C33" s="266">
        <v>1368</v>
      </c>
      <c r="D33" s="266">
        <v>1081</v>
      </c>
      <c r="E33" s="266">
        <v>254</v>
      </c>
      <c r="F33" s="266">
        <v>381</v>
      </c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>
        <f t="shared" si="1"/>
        <v>4013</v>
      </c>
      <c r="W33" s="264">
        <v>0.27</v>
      </c>
      <c r="X33" s="266">
        <f t="shared" si="2"/>
        <v>5096.51</v>
      </c>
    </row>
    <row r="34" spans="1:24" ht="11.25">
      <c r="A34" s="263" t="s">
        <v>227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>
        <f t="shared" si="1"/>
        <v>0</v>
      </c>
      <c r="W34" s="264"/>
      <c r="X34" s="266">
        <f t="shared" si="2"/>
        <v>0</v>
      </c>
    </row>
    <row r="35" spans="1:24" ht="11.25">
      <c r="A35" s="263" t="s">
        <v>228</v>
      </c>
      <c r="B35" s="266"/>
      <c r="C35" s="266"/>
      <c r="D35" s="266"/>
      <c r="E35" s="266"/>
      <c r="F35" s="266"/>
      <c r="G35" s="266"/>
      <c r="H35" s="266"/>
      <c r="I35" s="266">
        <v>447</v>
      </c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>
        <f t="shared" si="1"/>
        <v>447</v>
      </c>
      <c r="W35" s="264">
        <v>0.30000000000000004</v>
      </c>
      <c r="X35" s="266">
        <f t="shared" si="2"/>
        <v>581.1</v>
      </c>
    </row>
    <row r="36" spans="1:24" ht="11.25">
      <c r="A36" s="263" t="s">
        <v>229</v>
      </c>
      <c r="B36" s="266">
        <v>615</v>
      </c>
      <c r="C36" s="266">
        <v>12185</v>
      </c>
      <c r="D36" s="266">
        <v>5230</v>
      </c>
      <c r="E36" s="266">
        <v>1360</v>
      </c>
      <c r="F36" s="266">
        <v>3950</v>
      </c>
      <c r="G36" s="266">
        <v>4388</v>
      </c>
      <c r="H36" s="266">
        <v>2737</v>
      </c>
      <c r="I36" s="266"/>
      <c r="J36" s="266">
        <v>2356</v>
      </c>
      <c r="K36" s="266">
        <v>6393</v>
      </c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>
        <f t="shared" si="1"/>
        <v>39214</v>
      </c>
      <c r="W36" s="264">
        <v>0.27222222222222203</v>
      </c>
      <c r="X36" s="266">
        <f t="shared" si="2"/>
        <v>49888.922222222216</v>
      </c>
    </row>
    <row r="37" spans="1:24" ht="11.25">
      <c r="A37" s="263" t="s">
        <v>230</v>
      </c>
      <c r="B37" s="266"/>
      <c r="C37" s="266"/>
      <c r="D37" s="266"/>
      <c r="E37" s="266">
        <v>336</v>
      </c>
      <c r="F37" s="266"/>
      <c r="G37" s="266">
        <v>141</v>
      </c>
      <c r="H37" s="266"/>
      <c r="I37" s="266"/>
      <c r="J37" s="266">
        <v>520</v>
      </c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>
        <f t="shared" si="1"/>
        <v>997</v>
      </c>
      <c r="W37" s="264">
        <v>0.2</v>
      </c>
      <c r="X37" s="266">
        <f t="shared" si="2"/>
        <v>1196.4</v>
      </c>
    </row>
    <row r="38" spans="1:24" ht="11.25">
      <c r="A38" s="268" t="s">
        <v>231</v>
      </c>
      <c r="B38" s="269">
        <f aca="true" t="shared" si="3" ref="B38:V38">SUM(B14:B37)</f>
        <v>6035</v>
      </c>
      <c r="C38" s="269">
        <f t="shared" si="3"/>
        <v>15151</v>
      </c>
      <c r="D38" s="269">
        <f t="shared" si="3"/>
        <v>10713</v>
      </c>
      <c r="E38" s="269">
        <f t="shared" si="3"/>
        <v>2100</v>
      </c>
      <c r="F38" s="269">
        <f t="shared" si="3"/>
        <v>10143</v>
      </c>
      <c r="G38" s="269">
        <f t="shared" si="3"/>
        <v>13458</v>
      </c>
      <c r="H38" s="269">
        <f t="shared" si="3"/>
        <v>8117</v>
      </c>
      <c r="I38" s="269">
        <f t="shared" si="3"/>
        <v>13766</v>
      </c>
      <c r="J38" s="269">
        <f t="shared" si="3"/>
        <v>3954</v>
      </c>
      <c r="K38" s="269">
        <f t="shared" si="3"/>
        <v>14928</v>
      </c>
      <c r="L38" s="269">
        <f t="shared" si="3"/>
        <v>0</v>
      </c>
      <c r="M38" s="269">
        <f t="shared" si="3"/>
        <v>0</v>
      </c>
      <c r="N38" s="269">
        <f t="shared" si="3"/>
        <v>0</v>
      </c>
      <c r="O38" s="269">
        <f t="shared" si="3"/>
        <v>0</v>
      </c>
      <c r="P38" s="269">
        <f t="shared" si="3"/>
        <v>0</v>
      </c>
      <c r="Q38" s="269">
        <f t="shared" si="3"/>
        <v>0</v>
      </c>
      <c r="R38" s="269">
        <f t="shared" si="3"/>
        <v>0</v>
      </c>
      <c r="S38" s="269">
        <f t="shared" si="3"/>
        <v>0</v>
      </c>
      <c r="T38" s="269">
        <f t="shared" si="3"/>
        <v>0</v>
      </c>
      <c r="U38" s="269">
        <f t="shared" si="3"/>
        <v>0</v>
      </c>
      <c r="V38" s="269">
        <f t="shared" si="3"/>
        <v>98365</v>
      </c>
      <c r="W38" s="270">
        <f>(X38-V38)/V38</f>
        <v>0.18884900342827451</v>
      </c>
      <c r="X38" s="269">
        <f>SUM(X14:X37)</f>
        <v>116941.13222222222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H13" sqref="H13"/>
    </sheetView>
  </sheetViews>
  <sheetFormatPr defaultColWidth="8" defaultRowHeight="23.25"/>
  <cols>
    <col min="1" max="1" width="13.1484375" style="271" customWidth="1"/>
    <col min="2" max="2" width="8.83984375" style="271" customWidth="1"/>
    <col min="3" max="3" width="16.69140625" style="271" customWidth="1"/>
    <col min="4" max="4" width="11.4609375" style="271" customWidth="1"/>
    <col min="5" max="5" width="13.1484375" style="271" customWidth="1"/>
    <col min="6" max="6" width="13" style="271" customWidth="1"/>
    <col min="7" max="7" width="11.4609375" style="271" customWidth="1"/>
    <col min="8" max="9" width="14.83984375" style="271" customWidth="1"/>
    <col min="10" max="12" width="13.69140625" style="271" customWidth="1"/>
    <col min="13" max="13" width="16.83984375" style="271" customWidth="1"/>
    <col min="14" max="14" width="13.69140625" style="271" customWidth="1"/>
    <col min="15" max="15" width="16.83984375" style="271" customWidth="1"/>
    <col min="16" max="16384" width="8" style="271" customWidth="1"/>
  </cols>
  <sheetData>
    <row r="1" ht="16.5" customHeight="1">
      <c r="A1" s="272" t="s">
        <v>232</v>
      </c>
    </row>
    <row r="2" ht="16.5" customHeight="1">
      <c r="A2" s="273" t="s">
        <v>233</v>
      </c>
    </row>
    <row r="3" ht="16.5" customHeight="1">
      <c r="A3" s="273" t="s">
        <v>234</v>
      </c>
    </row>
    <row r="4" ht="16.5" customHeight="1">
      <c r="A4" s="273" t="s">
        <v>235</v>
      </c>
    </row>
    <row r="5" ht="16.5" customHeight="1">
      <c r="A5" s="273" t="s">
        <v>236</v>
      </c>
    </row>
    <row r="6" ht="16.5" customHeight="1">
      <c r="A6" s="273" t="s">
        <v>237</v>
      </c>
    </row>
    <row r="7" ht="16.5" customHeight="1">
      <c r="A7" s="273" t="s">
        <v>238</v>
      </c>
    </row>
    <row r="8" ht="16.5" customHeight="1">
      <c r="A8" s="273" t="s">
        <v>239</v>
      </c>
    </row>
    <row r="9" ht="16.5" customHeight="1">
      <c r="A9" s="273" t="s">
        <v>240</v>
      </c>
    </row>
    <row r="10" ht="16.5" customHeight="1">
      <c r="A10" s="273"/>
    </row>
    <row r="11" ht="16.5" customHeight="1">
      <c r="A11" s="272" t="s">
        <v>241</v>
      </c>
    </row>
    <row r="12" ht="16.5" customHeight="1">
      <c r="A12" s="273" t="s">
        <v>242</v>
      </c>
    </row>
    <row r="13" ht="16.5" customHeight="1">
      <c r="A13" s="271" t="s">
        <v>243</v>
      </c>
    </row>
    <row r="14" spans="1:11" ht="16.5" customHeight="1">
      <c r="A14" s="271" t="s">
        <v>244</v>
      </c>
      <c r="K14" s="274"/>
    </row>
    <row r="15" ht="16.5" customHeight="1">
      <c r="A15" s="273" t="s">
        <v>245</v>
      </c>
    </row>
    <row r="17" spans="1:15" ht="12.75">
      <c r="A17" s="275" t="s">
        <v>246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</row>
    <row r="18" spans="1:15" ht="12.75">
      <c r="A18" s="275" t="s">
        <v>247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</row>
    <row r="19" spans="1:15" ht="12.75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</row>
    <row r="20" spans="1:15" ht="12.75">
      <c r="A20" s="275" t="s">
        <v>248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</row>
    <row r="21" spans="1:15" ht="12.75">
      <c r="A21" s="353" t="s">
        <v>249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</row>
    <row r="22" spans="1:15" ht="12.75">
      <c r="A22" s="355" t="s">
        <v>250</v>
      </c>
      <c r="B22" s="355" t="s">
        <v>251</v>
      </c>
      <c r="C22" s="355" t="s">
        <v>252</v>
      </c>
      <c r="D22" s="355" t="s">
        <v>46</v>
      </c>
      <c r="E22" s="355" t="s">
        <v>253</v>
      </c>
      <c r="F22" s="355" t="s">
        <v>254</v>
      </c>
      <c r="G22" s="355" t="s">
        <v>255</v>
      </c>
      <c r="H22" s="352" t="s">
        <v>158</v>
      </c>
      <c r="I22" s="352"/>
      <c r="J22" s="352" t="s">
        <v>159</v>
      </c>
      <c r="K22" s="352"/>
      <c r="L22" s="352" t="s">
        <v>160</v>
      </c>
      <c r="M22" s="352"/>
      <c r="N22" s="352" t="s">
        <v>256</v>
      </c>
      <c r="O22" s="352"/>
    </row>
    <row r="23" spans="1:15" ht="12.75">
      <c r="A23" s="355"/>
      <c r="B23" s="355"/>
      <c r="C23" s="355"/>
      <c r="D23" s="355"/>
      <c r="E23" s="355"/>
      <c r="F23" s="355"/>
      <c r="G23" s="355"/>
      <c r="H23" s="277" t="s">
        <v>135</v>
      </c>
      <c r="I23" s="277" t="s">
        <v>136</v>
      </c>
      <c r="J23" s="277" t="s">
        <v>135</v>
      </c>
      <c r="K23" s="277" t="s">
        <v>136</v>
      </c>
      <c r="L23" s="277" t="s">
        <v>135</v>
      </c>
      <c r="M23" s="277" t="s">
        <v>136</v>
      </c>
      <c r="N23" s="277" t="s">
        <v>135</v>
      </c>
      <c r="O23" s="277" t="s">
        <v>136</v>
      </c>
    </row>
    <row r="24" spans="1:15" ht="12.75">
      <c r="A24" s="278">
        <v>7010</v>
      </c>
      <c r="B24" s="279" t="s">
        <v>257</v>
      </c>
      <c r="C24" s="279" t="s">
        <v>140</v>
      </c>
      <c r="D24" s="280"/>
      <c r="E24" s="279" t="s">
        <v>258</v>
      </c>
      <c r="F24" s="279" t="s">
        <v>259</v>
      </c>
      <c r="G24" s="279"/>
      <c r="H24" s="279" t="s">
        <v>260</v>
      </c>
      <c r="I24" s="279"/>
      <c r="J24" s="279"/>
      <c r="K24" s="279"/>
      <c r="L24" s="279"/>
      <c r="M24" s="279"/>
      <c r="N24" s="279"/>
      <c r="O24" s="279"/>
    </row>
    <row r="25" spans="1:15" ht="13.5" customHeight="1">
      <c r="A25" s="281">
        <v>7010</v>
      </c>
      <c r="B25" s="282" t="s">
        <v>257</v>
      </c>
      <c r="C25" s="283" t="s">
        <v>141</v>
      </c>
      <c r="D25" s="284"/>
      <c r="E25" s="282"/>
      <c r="F25" s="282"/>
      <c r="G25" s="282"/>
      <c r="H25" s="282" t="s">
        <v>261</v>
      </c>
      <c r="I25" s="282" t="s">
        <v>262</v>
      </c>
      <c r="J25" s="282" t="s">
        <v>263</v>
      </c>
      <c r="K25" s="282" t="s">
        <v>264</v>
      </c>
      <c r="L25" s="282" t="s">
        <v>263</v>
      </c>
      <c r="M25" s="282" t="s">
        <v>264</v>
      </c>
      <c r="N25" s="282" t="s">
        <v>263</v>
      </c>
      <c r="O25" s="282" t="s">
        <v>264</v>
      </c>
    </row>
    <row r="26" spans="1:15" ht="13.5" customHeight="1">
      <c r="A26" s="278">
        <v>7010</v>
      </c>
      <c r="B26" s="279" t="s">
        <v>257</v>
      </c>
      <c r="C26" s="285" t="s">
        <v>265</v>
      </c>
      <c r="D26" s="284"/>
      <c r="E26" s="279"/>
      <c r="F26" s="279"/>
      <c r="G26" s="279"/>
      <c r="H26" s="279" t="s">
        <v>261</v>
      </c>
      <c r="I26" s="279" t="s">
        <v>262</v>
      </c>
      <c r="J26" s="279" t="s">
        <v>266</v>
      </c>
      <c r="K26" s="279" t="s">
        <v>264</v>
      </c>
      <c r="L26" s="279" t="s">
        <v>266</v>
      </c>
      <c r="M26" s="279" t="s">
        <v>267</v>
      </c>
      <c r="N26" s="279" t="s">
        <v>266</v>
      </c>
      <c r="O26" s="279" t="s">
        <v>267</v>
      </c>
    </row>
    <row r="27" spans="1:15" ht="13.5" customHeight="1">
      <c r="A27" s="278">
        <v>7010</v>
      </c>
      <c r="B27" s="279" t="s">
        <v>257</v>
      </c>
      <c r="C27" s="285" t="s">
        <v>268</v>
      </c>
      <c r="D27" s="280"/>
      <c r="E27" s="279"/>
      <c r="F27" s="279"/>
      <c r="G27" s="279"/>
      <c r="H27" s="279" t="s">
        <v>261</v>
      </c>
      <c r="I27" s="279" t="s">
        <v>262</v>
      </c>
      <c r="J27" s="282" t="s">
        <v>263</v>
      </c>
      <c r="K27" s="282" t="s">
        <v>264</v>
      </c>
      <c r="L27" s="282" t="s">
        <v>263</v>
      </c>
      <c r="M27" s="282" t="s">
        <v>264</v>
      </c>
      <c r="N27" s="282" t="s">
        <v>263</v>
      </c>
      <c r="O27" s="279" t="s">
        <v>264</v>
      </c>
    </row>
    <row r="28" spans="1:15" ht="12.75">
      <c r="A28" s="276" t="s">
        <v>250</v>
      </c>
      <c r="B28" s="276" t="s">
        <v>251</v>
      </c>
      <c r="C28" s="286" t="s">
        <v>252</v>
      </c>
      <c r="D28" s="276" t="s">
        <v>269</v>
      </c>
      <c r="E28" s="287" t="s">
        <v>253</v>
      </c>
      <c r="F28" s="287" t="s">
        <v>254</v>
      </c>
      <c r="G28" s="287" t="s">
        <v>255</v>
      </c>
      <c r="H28" s="351" t="s">
        <v>158</v>
      </c>
      <c r="I28" s="351"/>
      <c r="J28" s="351" t="s">
        <v>159</v>
      </c>
      <c r="K28" s="351"/>
      <c r="L28" s="351" t="s">
        <v>160</v>
      </c>
      <c r="M28" s="351"/>
      <c r="N28" s="351" t="s">
        <v>256</v>
      </c>
      <c r="O28" s="351"/>
    </row>
    <row r="29" spans="1:15" ht="12.75">
      <c r="A29" s="288"/>
      <c r="B29" s="289"/>
      <c r="C29" s="290"/>
      <c r="D29" s="289"/>
      <c r="E29" s="289"/>
      <c r="F29" s="289"/>
      <c r="G29" s="289"/>
      <c r="H29" s="291" t="s">
        <v>135</v>
      </c>
      <c r="I29" s="291" t="s">
        <v>136</v>
      </c>
      <c r="J29" s="291" t="s">
        <v>135</v>
      </c>
      <c r="K29" s="291" t="s">
        <v>136</v>
      </c>
      <c r="L29" s="291" t="s">
        <v>135</v>
      </c>
      <c r="M29" s="291" t="s">
        <v>136</v>
      </c>
      <c r="N29" s="291" t="s">
        <v>135</v>
      </c>
      <c r="O29" s="291" t="s">
        <v>136</v>
      </c>
    </row>
    <row r="30" spans="1:15" ht="12.75">
      <c r="A30" s="292">
        <v>7010</v>
      </c>
      <c r="B30" s="293" t="s">
        <v>257</v>
      </c>
      <c r="C30" s="294" t="s">
        <v>141</v>
      </c>
      <c r="D30" s="292">
        <v>90</v>
      </c>
      <c r="E30" s="292">
        <v>518</v>
      </c>
      <c r="F30" s="292">
        <v>533</v>
      </c>
      <c r="G30" s="292">
        <v>1051</v>
      </c>
      <c r="H30" s="292">
        <v>243</v>
      </c>
      <c r="I30" s="292">
        <v>144</v>
      </c>
      <c r="J30" s="292">
        <v>94</v>
      </c>
      <c r="K30" s="292">
        <v>190</v>
      </c>
      <c r="L30" s="292">
        <v>20</v>
      </c>
      <c r="M30" s="292">
        <v>128</v>
      </c>
      <c r="N30" s="292">
        <v>161</v>
      </c>
      <c r="O30" s="292">
        <v>71</v>
      </c>
    </row>
    <row r="31" spans="1:15" ht="12.75">
      <c r="A31" s="292">
        <v>7010</v>
      </c>
      <c r="B31" s="293" t="s">
        <v>257</v>
      </c>
      <c r="C31" s="294" t="s">
        <v>270</v>
      </c>
      <c r="D31" s="292">
        <v>2</v>
      </c>
      <c r="E31" s="292">
        <v>12</v>
      </c>
      <c r="F31" s="292">
        <v>9</v>
      </c>
      <c r="G31" s="292">
        <v>21</v>
      </c>
      <c r="H31" s="292">
        <v>0</v>
      </c>
      <c r="I31" s="292">
        <v>5</v>
      </c>
      <c r="J31" s="292">
        <v>0</v>
      </c>
      <c r="K31" s="292">
        <v>4</v>
      </c>
      <c r="L31" s="292">
        <v>0</v>
      </c>
      <c r="M31" s="292">
        <v>0</v>
      </c>
      <c r="N31" s="292">
        <v>12</v>
      </c>
      <c r="O31" s="292">
        <v>0</v>
      </c>
    </row>
    <row r="32" spans="1:15" ht="12.75">
      <c r="A32" s="292"/>
      <c r="B32" s="293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</row>
    <row r="33" spans="1:15" ht="12.75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</row>
    <row r="34" spans="1:15" ht="12.75">
      <c r="A34" s="353" t="s">
        <v>271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</row>
    <row r="35" spans="1:15" ht="12.75">
      <c r="A35" s="291" t="s">
        <v>250</v>
      </c>
      <c r="B35" s="291" t="s">
        <v>251</v>
      </c>
      <c r="C35" s="291" t="s">
        <v>252</v>
      </c>
      <c r="D35" s="291" t="s">
        <v>46</v>
      </c>
      <c r="E35" s="295" t="s">
        <v>253</v>
      </c>
      <c r="F35" s="295" t="s">
        <v>254</v>
      </c>
      <c r="G35" s="296" t="s">
        <v>255</v>
      </c>
      <c r="H35" s="354" t="s">
        <v>158</v>
      </c>
      <c r="I35" s="354"/>
      <c r="J35" s="354" t="s">
        <v>159</v>
      </c>
      <c r="K35" s="354"/>
      <c r="L35" s="354" t="s">
        <v>160</v>
      </c>
      <c r="M35" s="354"/>
      <c r="N35" s="354" t="s">
        <v>256</v>
      </c>
      <c r="O35" s="354"/>
    </row>
    <row r="36" spans="1:15" ht="12.75">
      <c r="A36" s="289"/>
      <c r="B36" s="289"/>
      <c r="C36" s="289"/>
      <c r="D36" s="297"/>
      <c r="E36" s="279"/>
      <c r="F36" s="279"/>
      <c r="G36" s="298"/>
      <c r="H36" s="291" t="s">
        <v>135</v>
      </c>
      <c r="I36" s="291" t="s">
        <v>136</v>
      </c>
      <c r="J36" s="291" t="s">
        <v>135</v>
      </c>
      <c r="K36" s="291" t="s">
        <v>136</v>
      </c>
      <c r="L36" s="291" t="s">
        <v>135</v>
      </c>
      <c r="M36" s="291" t="s">
        <v>136</v>
      </c>
      <c r="N36" s="291" t="s">
        <v>135</v>
      </c>
      <c r="O36" s="291" t="s">
        <v>136</v>
      </c>
    </row>
    <row r="37" spans="1:15" ht="12.75">
      <c r="A37" s="279">
        <v>7010</v>
      </c>
      <c r="B37" s="279" t="s">
        <v>257</v>
      </c>
      <c r="C37" s="279" t="s">
        <v>140</v>
      </c>
      <c r="D37" s="280"/>
      <c r="E37" s="279" t="s">
        <v>272</v>
      </c>
      <c r="F37" s="279" t="s">
        <v>259</v>
      </c>
      <c r="G37" s="299"/>
      <c r="H37" s="300"/>
      <c r="I37" s="301"/>
      <c r="J37" s="301"/>
      <c r="K37" s="301"/>
      <c r="L37" s="301"/>
      <c r="M37" s="301"/>
      <c r="N37" s="301"/>
      <c r="O37" s="301"/>
    </row>
    <row r="38" spans="1:15" ht="12.75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</row>
    <row r="39" spans="1:15" ht="12.75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</row>
    <row r="40" spans="1:15" ht="12.75">
      <c r="A40" s="275" t="s">
        <v>273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</row>
    <row r="41" spans="1:15" ht="12.7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</row>
    <row r="42" spans="1:15" ht="12.75">
      <c r="A42" s="275" t="s">
        <v>274</v>
      </c>
      <c r="B42" s="275"/>
      <c r="C42" s="302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</row>
  </sheetData>
  <sheetProtection selectLockedCells="1" selectUnlockedCells="1"/>
  <mergeCells count="21">
    <mergeCell ref="G22:G23"/>
    <mergeCell ref="J28:K28"/>
    <mergeCell ref="J22:K22"/>
    <mergeCell ref="N28:O28"/>
    <mergeCell ref="A21:O21"/>
    <mergeCell ref="A22:A23"/>
    <mergeCell ref="B22:B23"/>
    <mergeCell ref="C22:C23"/>
    <mergeCell ref="D22:D23"/>
    <mergeCell ref="E22:E23"/>
    <mergeCell ref="F22:F23"/>
    <mergeCell ref="L28:M28"/>
    <mergeCell ref="H22:I22"/>
    <mergeCell ref="A34:O34"/>
    <mergeCell ref="H35:I35"/>
    <mergeCell ref="J35:K35"/>
    <mergeCell ref="L35:M35"/>
    <mergeCell ref="N35:O35"/>
    <mergeCell ref="L22:M22"/>
    <mergeCell ref="N22:O22"/>
    <mergeCell ref="H28:I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Nahirny Alves</dc:creator>
  <cp:keywords/>
  <dc:description/>
  <cp:lastModifiedBy>Larissa Nahirny Alves</cp:lastModifiedBy>
  <dcterms:created xsi:type="dcterms:W3CDTF">2021-05-03T17:43:38Z</dcterms:created>
  <dcterms:modified xsi:type="dcterms:W3CDTF">2022-02-11T19:06:24Z</dcterms:modified>
  <cp:category/>
  <cp:version/>
  <cp:contentType/>
  <cp:contentStatus/>
</cp:coreProperties>
</file>