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500" activeTab="0"/>
  </bookViews>
  <sheets>
    <sheet name="Bovinos_e_Comerc" sheetId="1" r:id="rId1"/>
    <sheet name="Leite_-_Produção" sheetId="2" r:id="rId2"/>
    <sheet name="GTA_-_NR_FB (relatório para o D" sheetId="3" r:id="rId3"/>
    <sheet name="Reb__Est__por_faixa_etária" sheetId="4" r:id="rId4"/>
    <sheet name="Leite_-_Captação" sheetId="5" state="hidden" r:id="rId5"/>
    <sheet name="OBSERVAÇÃO" sheetId="6" r:id="rId6"/>
  </sheets>
  <definedNames>
    <definedName name="SHARED_FORMULA_17_102_17_102_1">+#REF!</definedName>
    <definedName name="SHARED_FORMULA_17_134_17_134_1">+#REF!</definedName>
    <definedName name="SHARED_FORMULA_17_166_17_166_1">+#REF!</definedName>
    <definedName name="SHARED_FORMULA_17_232_17_232_1">+#REF!</definedName>
    <definedName name="SHARED_FORMULA_17_246_17_246_1">+#REF!</definedName>
    <definedName name="SHARED_FORMULA_17_310_17_310_1">+#REF!</definedName>
    <definedName name="SHARED_FORMULA_17_38_17_38_1">+#REF!</definedName>
    <definedName name="SHARED_FORMULA_17_6_17_6_1">+#REF!</definedName>
    <definedName name="SHARED_FORMULA_17_70_17_70_1">+#REF!</definedName>
    <definedName name="SHARED_FORMULA_18_113_18_113_1">+#REF!</definedName>
    <definedName name="SHARED_FORMULA_18_128_18_128_1">+#REF!</definedName>
    <definedName name="SHARED_FORMULA_18_143_18_143_1">+#REF!</definedName>
    <definedName name="SHARED_FORMULA_18_158_18_158_1">+#REF!</definedName>
    <definedName name="SHARED_FORMULA_18_173_18_173_1">+#REF!</definedName>
    <definedName name="SHARED_FORMULA_18_188_18_188_1">+#REF!</definedName>
    <definedName name="SHARED_FORMULA_18_203_18_203_1">+#REF!</definedName>
    <definedName name="SHARED_FORMULA_18_218_18_218_1">+#REF!</definedName>
    <definedName name="SHARED_FORMULA_18_23_18_23_1">+#REF!</definedName>
    <definedName name="SHARED_FORMULA_18_233_18_233_1">+#REF!</definedName>
    <definedName name="SHARED_FORMULA_18_248_18_248_1">+#REF!</definedName>
    <definedName name="SHARED_FORMULA_18_263_18_263_1">+#REF!</definedName>
    <definedName name="SHARED_FORMULA_18_278_18_278_1">+#REF!</definedName>
    <definedName name="SHARED_FORMULA_18_293_18_293_1">+#REF!</definedName>
    <definedName name="SHARED_FORMULA_18_308_18_308_1">+#REF!</definedName>
    <definedName name="SHARED_FORMULA_18_323_18_323_1">+#REF!</definedName>
    <definedName name="SHARED_FORMULA_18_338_18_338_1">+#REF!</definedName>
    <definedName name="SHARED_FORMULA_18_353_18_353_1">+#REF!</definedName>
    <definedName name="SHARED_FORMULA_18_368_18_368_1">+#REF!</definedName>
    <definedName name="SHARED_FORMULA_18_38_18_38_1">+#REF!</definedName>
    <definedName name="SHARED_FORMULA_18_53_18_53_1">+#REF!</definedName>
    <definedName name="SHARED_FORMULA_18_68_18_68_1">+#REF!</definedName>
    <definedName name="SHARED_FORMULA_18_8_18_8_1">+#REF!</definedName>
    <definedName name="SHARED_FORMULA_18_83_18_83_1">+#REF!</definedName>
    <definedName name="SHARED_FORMULA_18_98_18_98_1">+#REF!</definedName>
  </definedNames>
  <calcPr fullCalcOnLoad="1"/>
</workbook>
</file>

<file path=xl/sharedStrings.xml><?xml version="1.0" encoding="utf-8"?>
<sst xmlns="http://schemas.openxmlformats.org/spreadsheetml/2006/main" count="2829" uniqueCount="321">
  <si>
    <t>Estado do Paraná</t>
  </si>
  <si>
    <t>Intervalos determinados pelo dobro e metade da média paranaense.</t>
  </si>
  <si>
    <t>Secretaria da Agricultura e do Abastecimento</t>
  </si>
  <si>
    <t>Departamento de Economia Rural</t>
  </si>
  <si>
    <t>BS</t>
  </si>
  <si>
    <t>NS</t>
  </si>
  <si>
    <t>AS</t>
  </si>
  <si>
    <t>ABATE</t>
  </si>
  <si>
    <t>TdO</t>
  </si>
  <si>
    <t>leite</t>
  </si>
  <si>
    <t>Safra:</t>
  </si>
  <si>
    <t>SAFRA</t>
  </si>
  <si>
    <t>CODMUN</t>
  </si>
  <si>
    <t>COD_CUL</t>
  </si>
  <si>
    <t>AREA</t>
  </si>
  <si>
    <t>PRODUCAO</t>
  </si>
  <si>
    <t>PESO</t>
  </si>
  <si>
    <t>VALOR</t>
  </si>
  <si>
    <t>MUNICÍPIO:</t>
  </si>
  <si>
    <t>0100</t>
  </si>
  <si>
    <t>AMPERE</t>
  </si>
  <si>
    <t>LEITE DE VACA</t>
  </si>
  <si>
    <t>ESTERCOS</t>
  </si>
  <si>
    <t>Esterco Bovino - Confinados</t>
  </si>
  <si>
    <t>kg/dia.animal</t>
  </si>
  <si>
    <t>t/ano.animal</t>
  </si>
  <si>
    <t>PLANTEL</t>
  </si>
  <si>
    <t>Gado leiteiro</t>
  </si>
  <si>
    <t>Gado de corte</t>
  </si>
  <si>
    <t>Pastagens (HA)</t>
  </si>
  <si>
    <t>Leite (mil litros)</t>
  </si>
  <si>
    <t>Esterco (t)</t>
  </si>
  <si>
    <t>Taxa de Ocupação</t>
  </si>
  <si>
    <t>7010</t>
  </si>
  <si>
    <t xml:space="preserve">BOVINO   (BOI GORDO)  </t>
  </si>
  <si>
    <t>Esterco Bovivo - Leiteiro não-confinado</t>
  </si>
  <si>
    <t>Confinado</t>
  </si>
  <si>
    <t>Não conf.</t>
  </si>
  <si>
    <t>7025</t>
  </si>
  <si>
    <t>VACA   (PARA CORTE)</t>
  </si>
  <si>
    <t>NÚMERO DE ANIMAIS</t>
  </si>
  <si>
    <t>VITELO</t>
  </si>
  <si>
    <t>7015</t>
  </si>
  <si>
    <t>BEZERROS</t>
  </si>
  <si>
    <t>7016</t>
  </si>
  <si>
    <t>BEZERRAS</t>
  </si>
  <si>
    <t>GTA</t>
  </si>
  <si>
    <t>ABATIDOS</t>
  </si>
  <si>
    <t>PESO DE ABATE</t>
  </si>
  <si>
    <t>PESO MÉDIO (sem vitelo)</t>
  </si>
  <si>
    <t>COMERCIALIZADOS VIVOS</t>
  </si>
  <si>
    <t>*Touros com registro</t>
  </si>
  <si>
    <t>7017</t>
  </si>
  <si>
    <t>GARROTES</t>
  </si>
  <si>
    <t>Comum</t>
  </si>
  <si>
    <t>Precoce</t>
  </si>
  <si>
    <t>Vitelo</t>
  </si>
  <si>
    <t>Bezerro(a)</t>
  </si>
  <si>
    <t>Novilho(a)</t>
  </si>
  <si>
    <t>Touros/ Vacas</t>
  </si>
  <si>
    <t>7018</t>
  </si>
  <si>
    <t>NOVILHAS</t>
  </si>
  <si>
    <t xml:space="preserve"> PC</t>
  </si>
  <si>
    <t>PO corte</t>
  </si>
  <si>
    <t>PO leite</t>
  </si>
  <si>
    <t>7024</t>
  </si>
  <si>
    <t>VACA   (PARA CRIA)</t>
  </si>
  <si>
    <t>MACHOS</t>
  </si>
  <si>
    <t>TOURO PC   (COM REGISTRO)</t>
  </si>
  <si>
    <t>FÊMEAS</t>
  </si>
  <si>
    <t>TOURO PO   (REPROD. P/GADO DE CORTE)</t>
  </si>
  <si>
    <t>sub-índices</t>
  </si>
  <si>
    <t>TOURO PO   (REPROD. P/GADO DE LEITE)</t>
  </si>
  <si>
    <t>7019</t>
  </si>
  <si>
    <t>TOUROS</t>
  </si>
  <si>
    <t>3500</t>
  </si>
  <si>
    <t>PASTAGENS</t>
  </si>
  <si>
    <t>0260</t>
  </si>
  <si>
    <t>BARRACAO</t>
  </si>
  <si>
    <t>0275</t>
  </si>
  <si>
    <t>BELA VISTA DA CAROBA</t>
  </si>
  <si>
    <t>0315</t>
  </si>
  <si>
    <t>BOM JESUS DO SUL</t>
  </si>
  <si>
    <t>0450</t>
  </si>
  <si>
    <t>CAPANEMA</t>
  </si>
  <si>
    <t>0740</t>
  </si>
  <si>
    <t>ENEAS MARQUES</t>
  </si>
  <si>
    <t>0785</t>
  </si>
  <si>
    <t>FLOR DA SERRA DO SUL</t>
  </si>
  <si>
    <t>0840</t>
  </si>
  <si>
    <t>FRANCISCO BELTRAO</t>
  </si>
  <si>
    <t>1435</t>
  </si>
  <si>
    <t>MANFRINOPOLIS</t>
  </si>
  <si>
    <t>1540</t>
  </si>
  <si>
    <t>MARMELEIRO</t>
  </si>
  <si>
    <t>1900</t>
  </si>
  <si>
    <t>PEROLA DO OESTE</t>
  </si>
  <si>
    <t>1925</t>
  </si>
  <si>
    <t>PINHAL DE SAO BENTO</t>
  </si>
  <si>
    <t>,</t>
  </si>
  <si>
    <t>1980</t>
  </si>
  <si>
    <t>PLANALTO</t>
  </si>
  <si>
    <t>2035</t>
  </si>
  <si>
    <t>PRANCHITA</t>
  </si>
  <si>
    <t>2140</t>
  </si>
  <si>
    <t>REALEZA</t>
  </si>
  <si>
    <t>2160</t>
  </si>
  <si>
    <t>RENASCENCA</t>
  </si>
  <si>
    <t>2280</t>
  </si>
  <si>
    <t>SALGADO FILHO</t>
  </si>
  <si>
    <t>2380</t>
  </si>
  <si>
    <t>SANTA IZABEL DO OESTE</t>
  </si>
  <si>
    <t>2440</t>
  </si>
  <si>
    <t>SANTO ANTONIO DO SUDOESTE</t>
  </si>
  <si>
    <t>2860</t>
  </si>
  <si>
    <t>VERE</t>
  </si>
  <si>
    <t>Plantel Total</t>
  </si>
  <si>
    <t>Conf. Total</t>
  </si>
  <si>
    <t>Pastagens Total</t>
  </si>
  <si>
    <t>Leite - total</t>
  </si>
  <si>
    <t>ocultar</t>
  </si>
  <si>
    <t>copia da outra planilha</t>
  </si>
  <si>
    <t>Rebanho</t>
  </si>
  <si>
    <t>Vacas GTA (&gt;24 meses)</t>
  </si>
  <si>
    <t>Vacas Ordenhadas</t>
  </si>
  <si>
    <t>% Raças Rebanho</t>
  </si>
  <si>
    <t>Média (L/vaca)</t>
  </si>
  <si>
    <t xml:space="preserve"> Produção municipal (mil litros)</t>
  </si>
  <si>
    <t>Média estimada (lt/vaca/ano)</t>
  </si>
  <si>
    <t>Reb. Confin.</t>
  </si>
  <si>
    <t>Municípios</t>
  </si>
  <si>
    <t>Total</t>
  </si>
  <si>
    <t>Leite</t>
  </si>
  <si>
    <t>%</t>
  </si>
  <si>
    <t>%/vacas &gt;24 mêses</t>
  </si>
  <si>
    <t>Cab.</t>
  </si>
  <si>
    <t>Confi-nado</t>
  </si>
  <si>
    <t>Holan-desa</t>
  </si>
  <si>
    <t>Jersey</t>
  </si>
  <si>
    <t>Outras</t>
  </si>
  <si>
    <t>Ano</t>
  </si>
  <si>
    <t>Dia</t>
  </si>
  <si>
    <t>Confin.</t>
  </si>
  <si>
    <t>Holand.</t>
  </si>
  <si>
    <t>% &gt;24 mêses</t>
  </si>
  <si>
    <t>Ampere</t>
  </si>
  <si>
    <t>Barracão</t>
  </si>
  <si>
    <t>Bela Vista da Caroba</t>
  </si>
  <si>
    <t>Bom Jesus do Sul</t>
  </si>
  <si>
    <t>Capanema</t>
  </si>
  <si>
    <t>Enéas Marques</t>
  </si>
  <si>
    <t>Flor da Serra do Sul</t>
  </si>
  <si>
    <t>Francisco Beltrão</t>
  </si>
  <si>
    <t>Manfrinópolis</t>
  </si>
  <si>
    <t>Marmeleiro</t>
  </si>
  <si>
    <t>Perola do Oeste</t>
  </si>
  <si>
    <t>Pinhal de São Bento</t>
  </si>
  <si>
    <t>Planalto</t>
  </si>
  <si>
    <t>Pranchita</t>
  </si>
  <si>
    <t>Realeza</t>
  </si>
  <si>
    <t>Renascença</t>
  </si>
  <si>
    <t>Salgado Filho</t>
  </si>
  <si>
    <t>Santa Izabel do Oeste</t>
  </si>
  <si>
    <t>Santo Antônio do Sudoeste</t>
  </si>
  <si>
    <t>Verê</t>
  </si>
  <si>
    <t>Total Regional Estimado</t>
  </si>
  <si>
    <t>AMPÉRE</t>
  </si>
  <si>
    <t xml:space="preserve"> Nº Prop. com bovinos</t>
  </si>
  <si>
    <t>Abatido na Prop.</t>
  </si>
  <si>
    <t>0 – 12 meses</t>
  </si>
  <si>
    <t>12 – 24 meses</t>
  </si>
  <si>
    <t>24 – 36 meses</t>
  </si>
  <si>
    <t>+ de 36 meses</t>
  </si>
  <si>
    <t>(até 24 meses)</t>
  </si>
  <si>
    <t>SAIDA</t>
  </si>
  <si>
    <t>M</t>
  </si>
  <si>
    <t>F</t>
  </si>
  <si>
    <t>Macho</t>
  </si>
  <si>
    <t>Fêmeas</t>
  </si>
  <si>
    <t>Abate/Comerc.</t>
  </si>
  <si>
    <t>Abate</t>
  </si>
  <si>
    <t>Cria/Engorda</t>
  </si>
  <si>
    <t>Cria/Reprodução</t>
  </si>
  <si>
    <t>Dif.</t>
  </si>
  <si>
    <t>Leilão</t>
  </si>
  <si>
    <t xml:space="preserve">COMERCIALIZADOS VIVOS </t>
  </si>
  <si>
    <t>INTERNA</t>
  </si>
  <si>
    <t>Novilho(a) (garrotes)</t>
  </si>
  <si>
    <t>BARRACÃO</t>
  </si>
  <si>
    <t>ENÉAS MARQUES</t>
  </si>
  <si>
    <t>FLOR DA SERA DO SUL</t>
  </si>
  <si>
    <t>'</t>
  </si>
  <si>
    <t>FRANCISCO BELTRÃO</t>
  </si>
  <si>
    <t>MANFRINÓPOLIS</t>
  </si>
  <si>
    <t>PÉROLA DO OESTE</t>
  </si>
  <si>
    <t>PINHAL DE SÃO BENTO</t>
  </si>
  <si>
    <t>RENASCENÇA</t>
  </si>
  <si>
    <t>VERÊ</t>
  </si>
  <si>
    <t>Propried. (total)</t>
  </si>
  <si>
    <t>Abate/Comerc. (total)</t>
  </si>
  <si>
    <t>Bovinos - Rebanho Estático – 2020</t>
  </si>
  <si>
    <t>Propriedades – ADAPAR</t>
  </si>
  <si>
    <t>0 - 4 meses</t>
  </si>
  <si>
    <t>0 - 12 meses</t>
  </si>
  <si>
    <t>12 - 24 meses</t>
  </si>
  <si>
    <t>24 - 36 meses</t>
  </si>
  <si>
    <t>Total do Rebanho</t>
  </si>
  <si>
    <t>Vacas + 24 mês</t>
  </si>
  <si>
    <t>IBGE</t>
  </si>
  <si>
    <t>Ampére</t>
  </si>
  <si>
    <t>Pérola do Oeste</t>
  </si>
  <si>
    <t>Santa Izabel Oeste</t>
  </si>
  <si>
    <t>Santo Ant. Sudoeste</t>
  </si>
  <si>
    <t>Dif. de 2020 para 2019</t>
  </si>
  <si>
    <t>Taxa Ocup.</t>
  </si>
  <si>
    <t>ÁREA</t>
  </si>
  <si>
    <t>Bovinocultura 2019 - Levantamento de rebanhos, abates e comercialização no Núcleo Regional de Francisco Beltrão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</si>
  <si>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</si>
  <si>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</si>
  <si>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</si>
  <si>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</si>
  <si>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</si>
  <si>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</si>
  <si>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</si>
  <si>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</si>
  <si>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</si>
  <si>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</si>
  <si>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</si>
  <si>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</si>
  <si>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Captação Média IBGE 1997-2018</t>
  </si>
  <si>
    <t>Aumento da Captação IBGE - 2019</t>
  </si>
  <si>
    <t>Produção REGIONAL efetiva 2018</t>
  </si>
  <si>
    <t>Produção REGIONAL estimada 2019</t>
  </si>
  <si>
    <t>Barracao</t>
  </si>
  <si>
    <t>Bela Vista Da Caroba</t>
  </si>
  <si>
    <t>Bom Jesus Do Sul</t>
  </si>
  <si>
    <t>Eneas Marques</t>
  </si>
  <si>
    <t>Flor Da Serra Do Sul</t>
  </si>
  <si>
    <t>Francisco Beltrao</t>
  </si>
  <si>
    <t>Manfrinopolis</t>
  </si>
  <si>
    <t>Perola Do Oeste</t>
  </si>
  <si>
    <t>Pinhal De Sao Bento</t>
  </si>
  <si>
    <t>Renascenca</t>
  </si>
  <si>
    <t>Santa Izabel Do Oeste</t>
  </si>
  <si>
    <t>Santo Antonio Do Sudoeste</t>
  </si>
  <si>
    <t>Vere</t>
  </si>
  <si>
    <t>Laticínio 1</t>
  </si>
  <si>
    <t>Laticínio 2</t>
  </si>
  <si>
    <t>Laticínio 3</t>
  </si>
  <si>
    <t>Laticínio 4</t>
  </si>
  <si>
    <t>Laticínio 5</t>
  </si>
  <si>
    <t>Laticínio 6</t>
  </si>
  <si>
    <t>Laticínio 7</t>
  </si>
  <si>
    <t>Laticínio 8</t>
  </si>
  <si>
    <t>Laticínio 9</t>
  </si>
  <si>
    <t>Laticínio 10</t>
  </si>
  <si>
    <t>Laticínio 11</t>
  </si>
  <si>
    <t>Laticínio 12</t>
  </si>
  <si>
    <t>Laticínio 13</t>
  </si>
  <si>
    <t>Laticínio 14</t>
  </si>
  <si>
    <t>Laticínio 15</t>
  </si>
  <si>
    <t>Laticínio 16</t>
  </si>
  <si>
    <t>Laticínio 17</t>
  </si>
  <si>
    <t>Laticínio 18</t>
  </si>
  <si>
    <t>Laticínio 19</t>
  </si>
  <si>
    <t>Laticínio 20</t>
  </si>
  <si>
    <t>Laticínio 21</t>
  </si>
  <si>
    <t>Laticínio 22</t>
  </si>
  <si>
    <t>Laticínio 23</t>
  </si>
  <si>
    <t>Laticínio 24</t>
  </si>
  <si>
    <t>SOMA</t>
  </si>
  <si>
    <t>INSTRUÇÕES:</t>
  </si>
  <si>
    <t>Parte das informações deste novo formulários são iguais as do antigo e deverão ser obtidas preferencialmente via GTA, foram acrescentadas outras informações importantes para melhorar a consistência da pesquisa.</t>
  </si>
  <si>
    <t>Preencher somente os campos em amarelo.</t>
  </si>
  <si>
    <t>As informações de gado leiteiro e de corte, confinados ou não, deverão perfazer 100% quando somados.</t>
  </si>
  <si>
    <t>Os sub-índices destacam quando há alguma distorção relevante em relação à média do Estado, porém não quer dizer que esteja necessariamente errado o valor lançado.</t>
  </si>
  <si>
    <t>As informações deverão ser devolvidas à Sede exclusivamente por meio eletrônico (e-mail).</t>
  </si>
  <si>
    <t>Os animais abatidos deverão ser subdivididos em comum, precoce e vitelo; porém, posteriormente na Sede os precoces serão agregados aos comuns. A separação serve exclusivamente para calcular a média de peso.</t>
  </si>
  <si>
    <t>Lembrar de descontar os animais com registro do número de touros captados da GTA.</t>
  </si>
  <si>
    <t>Os itens que aparecerem em vermelho indicam que o número está fora da faixa média do Estado, o que não significa que está errado, pois certamente haverá situações particulares que justificam.</t>
  </si>
  <si>
    <t>DEFINIÇÕES:</t>
  </si>
  <si>
    <t>O gado leiteiro engloba também o gado misto, já o gado de corte é apenas o destinado especificamente para esta aptidão.</t>
  </si>
  <si>
    <t>No campo rebanho confinado preencher considerando os animais confinados 100% do tempo.</t>
  </si>
  <si>
    <t>No campo não confinado preencher considerando os animais não confinados e semi-confinados.</t>
  </si>
  <si>
    <t>Para a média de litros por vaca dia foi considerado um período de lactação de 305 dias.</t>
  </si>
  <si>
    <t>Considerar os animais do municípios abatidos no ano (abate interno - GTA's Internas) e animais que saíram do município para abate em outros municípios (saída para abate - GTA's de Saída).</t>
  </si>
  <si>
    <t>Não considerar animais vivos que transitam dentro do próprio município  (transferência de pasto)</t>
  </si>
  <si>
    <t>Orientação para uso da GTA, sendo que os códigos representam os campos a serem utilizados.</t>
  </si>
  <si>
    <t>GTAs de Saída - Abatidos/Comercializados</t>
  </si>
  <si>
    <t>Cod. Espécie</t>
  </si>
  <si>
    <t>Espécie</t>
  </si>
  <si>
    <t>Finalidade</t>
  </si>
  <si>
    <t>Total Machos</t>
  </si>
  <si>
    <t>Total Femeas</t>
  </si>
  <si>
    <t>Total Animais</t>
  </si>
  <si>
    <t>Mais de 36 meses</t>
  </si>
  <si>
    <t>BOVINA</t>
  </si>
  <si>
    <t>7010 boi p/corte</t>
  </si>
  <si>
    <t>7025 vaca p/corte</t>
  </si>
  <si>
    <t>7590 vitelo</t>
  </si>
  <si>
    <t>7015 bezerros</t>
  </si>
  <si>
    <t>7016 bezerras</t>
  </si>
  <si>
    <t>7017 novilho</t>
  </si>
  <si>
    <t>7018 novilha</t>
  </si>
  <si>
    <t>CRIA/Reproducao</t>
  </si>
  <si>
    <t>7019 touros</t>
  </si>
  <si>
    <t>7024 vaca p/cria</t>
  </si>
  <si>
    <t>Leilao</t>
  </si>
  <si>
    <t>GTA's</t>
  </si>
  <si>
    <t>Cria/Reproducao</t>
  </si>
  <si>
    <t>GTAs Internas - Abatidos/Comercializados</t>
  </si>
  <si>
    <t>7010 boi p/ corte</t>
  </si>
  <si>
    <t>Touros PC e PO (7006, 7007, 7008) - devem possuir o registro genalógico, bem como devem ser descontados do item 7019 (touro comum)</t>
  </si>
  <si>
    <t>Vitelo: desconsiderar se não houver na região animais neste regime específico. Se houver, descontar do código 7010.</t>
  </si>
  <si>
    <t>leite confinado</t>
  </si>
  <si>
    <t>leite náo confinado</t>
  </si>
  <si>
    <t>corte confinado</t>
  </si>
  <si>
    <t>corte náo confinado</t>
  </si>
  <si>
    <t xml:space="preserve">Bovinocultura 2021 - Levantamento de rebanhos e produção leiteira no Núcleo Regional de Francisco Beltrão </t>
  </si>
  <si>
    <t>20/21</t>
  </si>
  <si>
    <r>
      <t xml:space="preserve">Bovinocultura 2021 - Levantamento de rebanhos, abates e comercialização no Núcleo Regional de </t>
    </r>
    <r>
      <rPr>
        <b/>
        <u val="single"/>
        <sz val="12"/>
        <color indexed="8"/>
        <rFont val="Arial"/>
        <family val="2"/>
      </rPr>
      <t>Francisco Beltrão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</si>
</sst>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\-mmm\-yy"/>
    <numFmt numFmtId="171" formatCode="#,##0.0\ ;&quot; (&quot;#,##0.0\);\-#\ ;@\ "/>
    <numFmt numFmtId="172" formatCode="#,##0.00\ ;\-#,##0.00\ ;\-00\ ;@\ "/>
    <numFmt numFmtId="173" formatCode="0\ ;&quot; (&quot;0\);\-#\ ;@\ "/>
    <numFmt numFmtId="174" formatCode="#,##0.000\ ;&quot; (&quot;#,##0.000\);\-#\ ;@\ "/>
    <numFmt numFmtId="175" formatCode="#,##0.00000\ ;&quot; (&quot;#,##0.00000\);\-#\ ;@\ "/>
    <numFmt numFmtId="176" formatCode="#,##0;[Red]#,##0"/>
    <numFmt numFmtId="177" formatCode="#,##0.0"/>
    <numFmt numFmtId="178" formatCode="0.0"/>
    <numFmt numFmtId="179" formatCode="0\ ;&quot; (&quot;0\);\-00\ ;@\ "/>
    <numFmt numFmtId="180" formatCode="#,##0\ ;&quot; (&quot;#,##0\);\-#\ ;@\ "/>
    <numFmt numFmtId="181" formatCode="0.0%;[Red]\-0.0%"/>
    <numFmt numFmtId="182" formatCode="0.00%;[Red]\-0.00%"/>
    <numFmt numFmtId="183" formatCode="#,##0.00\ ;&quot; (&quot;#,##0.00\);\-#\ ;@\ "/>
  </numFmts>
  <fonts count="99">
    <font>
      <sz val="8"/>
      <color indexed="8"/>
      <name val="Arial1"/>
      <family val="0"/>
    </font>
    <font>
      <sz val="10"/>
      <name val="Arial"/>
      <family val="0"/>
    </font>
    <font>
      <b/>
      <sz val="8"/>
      <color indexed="57"/>
      <name val="Arial1"/>
      <family val="0"/>
    </font>
    <font>
      <b/>
      <sz val="8"/>
      <color indexed="10"/>
      <name val="Arial1"/>
      <family val="0"/>
    </font>
    <font>
      <b/>
      <sz val="8"/>
      <color indexed="17"/>
      <name val="Arial1"/>
      <family val="0"/>
    </font>
    <font>
      <sz val="10"/>
      <color indexed="8"/>
      <name val="Arial3"/>
      <family val="0"/>
    </font>
    <font>
      <sz val="10"/>
      <color indexed="8"/>
      <name val="Arial1"/>
      <family val="0"/>
    </font>
    <font>
      <sz val="10"/>
      <color indexed="8"/>
      <name val="Arial2"/>
      <family val="2"/>
    </font>
    <font>
      <b/>
      <sz val="18"/>
      <color indexed="62"/>
      <name val="Cambria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10"/>
      <name val="Arial1"/>
      <family val="0"/>
    </font>
    <font>
      <b/>
      <sz val="8"/>
      <color indexed="9"/>
      <name val="Arial2"/>
      <family val="2"/>
    </font>
    <font>
      <b/>
      <sz val="8"/>
      <color indexed="8"/>
      <name val="Arial2"/>
      <family val="2"/>
    </font>
    <font>
      <sz val="16"/>
      <color indexed="9"/>
      <name val="Arial1"/>
      <family val="0"/>
    </font>
    <font>
      <b/>
      <sz val="10"/>
      <name val="Arial2"/>
      <family val="2"/>
    </font>
    <font>
      <b/>
      <sz val="10"/>
      <color indexed="8"/>
      <name val="Arial2"/>
      <family val="2"/>
    </font>
    <font>
      <sz val="8"/>
      <name val="Arial1"/>
      <family val="0"/>
    </font>
    <font>
      <b/>
      <sz val="8"/>
      <color indexed="14"/>
      <name val="Arial2"/>
      <family val="2"/>
    </font>
    <font>
      <sz val="8"/>
      <color indexed="14"/>
      <name val="Arial1"/>
      <family val="0"/>
    </font>
    <font>
      <sz val="10"/>
      <color indexed="14"/>
      <name val="Arial1"/>
      <family val="0"/>
    </font>
    <font>
      <sz val="16"/>
      <color indexed="14"/>
      <name val="Arial1"/>
      <family val="0"/>
    </font>
    <font>
      <b/>
      <sz val="8"/>
      <color indexed="10"/>
      <name val="Arial2"/>
      <family val="2"/>
    </font>
    <font>
      <sz val="16"/>
      <color indexed="8"/>
      <name val="Arial1"/>
      <family val="0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b/>
      <sz val="10"/>
      <color indexed="8"/>
      <name val="Arial1"/>
      <family val="0"/>
    </font>
    <font>
      <b/>
      <sz val="8"/>
      <name val="Arial2"/>
      <family val="2"/>
    </font>
    <font>
      <sz val="9"/>
      <color indexed="8"/>
      <name val="Arial2"/>
      <family val="0"/>
    </font>
    <font>
      <b/>
      <sz val="12"/>
      <color indexed="10"/>
      <name val="Arial1"/>
      <family val="0"/>
    </font>
    <font>
      <b/>
      <sz val="12"/>
      <color indexed="8"/>
      <name val="Arial2"/>
      <family val="0"/>
    </font>
    <font>
      <sz val="12"/>
      <color indexed="8"/>
      <name val="Arial2"/>
      <family val="0"/>
    </font>
    <font>
      <b/>
      <sz val="12"/>
      <color indexed="33"/>
      <name val="Arial1"/>
      <family val="0"/>
    </font>
    <font>
      <b/>
      <sz val="9"/>
      <color indexed="9"/>
      <name val="Arial2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sz val="8"/>
      <name val="Arial2"/>
      <family val="0"/>
    </font>
    <font>
      <sz val="8"/>
      <color indexed="8"/>
      <name val="Arial2"/>
      <family val="0"/>
    </font>
    <font>
      <sz val="9"/>
      <name val="Arial1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9"/>
      <name val="Arial1"/>
      <family val="0"/>
    </font>
    <font>
      <b/>
      <sz val="12"/>
      <name val="Arial1"/>
      <family val="0"/>
    </font>
    <font>
      <b/>
      <sz val="8"/>
      <color indexed="8"/>
      <name val="Arial1"/>
      <family val="0"/>
    </font>
    <font>
      <b/>
      <sz val="8"/>
      <name val="Arial1"/>
      <family val="0"/>
    </font>
    <font>
      <b/>
      <sz val="10"/>
      <name val="Arial1"/>
      <family val="0"/>
    </font>
    <font>
      <sz val="9"/>
      <color indexed="12"/>
      <name val="Arial"/>
      <family val="2"/>
    </font>
    <font>
      <sz val="8"/>
      <color indexed="10"/>
      <name val="Arial1"/>
      <family val="0"/>
    </font>
    <font>
      <b/>
      <sz val="9"/>
      <color indexed="10"/>
      <name val="Arial1"/>
      <family val="0"/>
    </font>
    <font>
      <b/>
      <sz val="10"/>
      <color indexed="10"/>
      <name val="Arial1"/>
      <family val="0"/>
    </font>
    <font>
      <sz val="10"/>
      <color indexed="8"/>
      <name val="Calibri"/>
      <family val="2"/>
    </font>
    <font>
      <b/>
      <sz val="10"/>
      <color indexed="1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9"/>
      </top>
      <bottom style="hair">
        <color indexed="9"/>
      </bottom>
    </border>
    <border>
      <left style="hair">
        <color indexed="8"/>
      </left>
      <right style="hair">
        <color indexed="8"/>
      </right>
      <top style="hair">
        <color indexed="9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 style="double">
        <color indexed="2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3"/>
      </bottom>
    </border>
    <border>
      <left style="hair">
        <color indexed="8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hair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0" fillId="23" borderId="0" applyBorder="0" applyProtection="0">
      <alignment/>
    </xf>
    <xf numFmtId="0" fontId="2" fillId="0" borderId="0" applyBorder="0" applyProtection="0">
      <alignment/>
    </xf>
    <xf numFmtId="0" fontId="0" fillId="24" borderId="0" applyBorder="0" applyProtection="0">
      <alignment/>
    </xf>
    <xf numFmtId="0" fontId="0" fillId="25" borderId="4" applyProtection="0">
      <alignment/>
    </xf>
    <xf numFmtId="0" fontId="0" fillId="23" borderId="0" applyBorder="0" applyProtection="0">
      <alignment/>
    </xf>
    <xf numFmtId="0" fontId="0" fillId="24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4" fillId="0" borderId="0" applyBorder="0" applyProtection="0">
      <alignment/>
    </xf>
    <xf numFmtId="0" fontId="0" fillId="24" borderId="0" applyBorder="0" applyProtection="0">
      <alignment/>
    </xf>
    <xf numFmtId="0" fontId="0" fillId="26" borderId="4" applyProtection="0">
      <alignment/>
    </xf>
    <xf numFmtId="0" fontId="0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4" fillId="0" borderId="0" applyBorder="0" applyProtection="0">
      <alignment/>
    </xf>
    <xf numFmtId="0" fontId="0" fillId="24" borderId="0" applyBorder="0" applyProtection="0">
      <alignment/>
    </xf>
    <xf numFmtId="0" fontId="0" fillId="26" borderId="4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8" fillId="33" borderId="1" applyNumberFormat="0" applyAlignment="0" applyProtection="0"/>
    <xf numFmtId="0" fontId="89" fillId="34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90" fillId="35" borderId="0" applyNumberFormat="0" applyBorder="0" applyAlignment="0" applyProtection="0"/>
    <xf numFmtId="0" fontId="5" fillId="0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0" fillId="36" borderId="5" applyNumberFormat="0" applyFont="0" applyAlignment="0" applyProtection="0"/>
    <xf numFmtId="9" fontId="0" fillId="0" borderId="0" applyBorder="0" applyProtection="0">
      <alignment/>
    </xf>
    <xf numFmtId="0" fontId="91" fillId="21" borderId="6" applyNumberFormat="0" applyAlignment="0" applyProtection="0"/>
    <xf numFmtId="41" fontId="1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" fillId="0" borderId="0" applyBorder="0" applyProtection="0">
      <alignment/>
    </xf>
    <xf numFmtId="0" fontId="98" fillId="0" borderId="10" applyNumberFormat="0" applyFill="0" applyAlignment="0" applyProtection="0"/>
    <xf numFmtId="172" fontId="0" fillId="0" borderId="0" applyBorder="0" applyProtection="0">
      <alignment/>
    </xf>
  </cellStyleXfs>
  <cellXfs count="3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3" borderId="0" xfId="0" applyNumberFormat="1" applyFill="1" applyAlignment="1">
      <alignment/>
    </xf>
    <xf numFmtId="0" fontId="0" fillId="23" borderId="0" xfId="0" applyNumberFormat="1" applyFont="1" applyFill="1" applyAlignment="1" applyProtection="1">
      <alignment horizontal="left"/>
      <protection/>
    </xf>
    <xf numFmtId="0" fontId="6" fillId="23" borderId="0" xfId="68" applyNumberFormat="1" applyFont="1" applyFill="1" applyBorder="1" applyAlignment="1" applyProtection="1">
      <alignment horizontal="center"/>
      <protection/>
    </xf>
    <xf numFmtId="9" fontId="0" fillId="23" borderId="0" xfId="0" applyNumberFormat="1" applyFont="1" applyFill="1" applyAlignment="1">
      <alignment/>
    </xf>
    <xf numFmtId="170" fontId="6" fillId="23" borderId="0" xfId="68" applyNumberFormat="1" applyFont="1" applyFill="1" applyBorder="1" applyAlignment="1" applyProtection="1">
      <alignment horizontal="right" wrapText="1"/>
      <protection/>
    </xf>
    <xf numFmtId="0" fontId="6" fillId="23" borderId="11" xfId="68" applyNumberFormat="1" applyFont="1" applyFill="1" applyBorder="1" applyAlignment="1" applyProtection="1">
      <alignment horizontal="left" wrapText="1"/>
      <protection/>
    </xf>
    <xf numFmtId="0" fontId="6" fillId="23" borderId="11" xfId="68" applyNumberFormat="1" applyFont="1" applyFill="1" applyBorder="1" applyAlignment="1" applyProtection="1">
      <alignment horizontal="right" wrapText="1"/>
      <protection/>
    </xf>
    <xf numFmtId="0" fontId="0" fillId="23" borderId="0" xfId="0" applyNumberFormat="1" applyFont="1" applyFill="1" applyAlignment="1">
      <alignment textRotation="90"/>
    </xf>
    <xf numFmtId="0" fontId="0" fillId="23" borderId="0" xfId="0" applyNumberFormat="1" applyFill="1" applyAlignment="1" applyProtection="1">
      <alignment/>
      <protection/>
    </xf>
    <xf numFmtId="9" fontId="0" fillId="23" borderId="0" xfId="71" applyNumberFormat="1" applyFont="1" applyFill="1" applyBorder="1" applyAlignment="1" applyProtection="1">
      <alignment/>
      <protection/>
    </xf>
    <xf numFmtId="171" fontId="0" fillId="23" borderId="0" xfId="0" applyNumberFormat="1" applyFill="1" applyAlignment="1">
      <alignment/>
    </xf>
    <xf numFmtId="1" fontId="0" fillId="23" borderId="0" xfId="0" applyNumberFormat="1" applyFill="1" applyAlignment="1">
      <alignment/>
    </xf>
    <xf numFmtId="0" fontId="9" fillId="23" borderId="0" xfId="0" applyNumberFormat="1" applyFont="1" applyFill="1" applyAlignment="1" applyProtection="1">
      <alignment horizontal="left"/>
      <protection locked="0"/>
    </xf>
    <xf numFmtId="0" fontId="11" fillId="23" borderId="0" xfId="0" applyNumberFormat="1" applyFont="1" applyFill="1" applyAlignment="1" applyProtection="1">
      <alignment horizontal="left"/>
      <protection/>
    </xf>
    <xf numFmtId="0" fontId="12" fillId="23" borderId="0" xfId="0" applyNumberFormat="1" applyFont="1" applyFill="1" applyAlignment="1">
      <alignment/>
    </xf>
    <xf numFmtId="0" fontId="12" fillId="23" borderId="11" xfId="68" applyNumberFormat="1" applyFont="1" applyFill="1" applyBorder="1" applyAlignment="1" applyProtection="1">
      <alignment horizontal="left" wrapText="1"/>
      <protection/>
    </xf>
    <xf numFmtId="0" fontId="0" fillId="23" borderId="0" xfId="0" applyNumberFormat="1" applyFill="1" applyAlignment="1">
      <alignment horizontal="left" vertical="center"/>
    </xf>
    <xf numFmtId="0" fontId="6" fillId="23" borderId="12" xfId="68" applyNumberFormat="1" applyFont="1" applyFill="1" applyBorder="1" applyAlignment="1" applyProtection="1">
      <alignment horizontal="center"/>
      <protection/>
    </xf>
    <xf numFmtId="0" fontId="13" fillId="37" borderId="0" xfId="0" applyNumberFormat="1" applyFont="1" applyFill="1" applyAlignment="1">
      <alignment horizontal="left"/>
    </xf>
    <xf numFmtId="0" fontId="0" fillId="23" borderId="0" xfId="0" applyNumberFormat="1" applyFill="1" applyAlignment="1">
      <alignment horizontal="center" vertical="center"/>
    </xf>
    <xf numFmtId="3" fontId="0" fillId="23" borderId="0" xfId="0" applyNumberFormat="1" applyFill="1" applyAlignment="1">
      <alignment/>
    </xf>
    <xf numFmtId="0" fontId="0" fillId="23" borderId="0" xfId="0" applyNumberFormat="1" applyFont="1" applyFill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4" fillId="23" borderId="0" xfId="0" applyNumberFormat="1" applyFont="1" applyFill="1" applyAlignment="1">
      <alignment horizontal="center" vertical="center"/>
    </xf>
    <xf numFmtId="0" fontId="0" fillId="23" borderId="0" xfId="0" applyNumberFormat="1" applyFill="1" applyAlignment="1">
      <alignment horizontal="center"/>
    </xf>
    <xf numFmtId="173" fontId="0" fillId="23" borderId="0" xfId="83" applyNumberFormat="1" applyFont="1" applyFill="1" applyBorder="1" applyAlignment="1" applyProtection="1">
      <alignment/>
      <protection/>
    </xf>
    <xf numFmtId="173" fontId="0" fillId="23" borderId="0" xfId="0" applyNumberFormat="1" applyFill="1" applyAlignment="1">
      <alignment/>
    </xf>
    <xf numFmtId="2" fontId="0" fillId="23" borderId="0" xfId="0" applyNumberFormat="1" applyFill="1" applyAlignment="1">
      <alignment/>
    </xf>
    <xf numFmtId="0" fontId="0" fillId="23" borderId="13" xfId="0" applyNumberFormat="1" applyFont="1" applyFill="1" applyBorder="1" applyAlignment="1">
      <alignment horizontal="left"/>
    </xf>
    <xf numFmtId="174" fontId="0" fillId="23" borderId="13" xfId="83" applyNumberFormat="1" applyFont="1" applyFill="1" applyBorder="1" applyAlignment="1" applyProtection="1">
      <alignment horizontal="center"/>
      <protection/>
    </xf>
    <xf numFmtId="175" fontId="0" fillId="23" borderId="13" xfId="83" applyNumberFormat="1" applyFont="1" applyFill="1" applyBorder="1" applyAlignment="1" applyProtection="1">
      <alignment horizontal="right"/>
      <protection/>
    </xf>
    <xf numFmtId="0" fontId="0" fillId="23" borderId="0" xfId="0" applyNumberFormat="1" applyFill="1" applyAlignment="1">
      <alignment horizontal="left"/>
    </xf>
    <xf numFmtId="0" fontId="0" fillId="23" borderId="14" xfId="0" applyNumberFormat="1" applyFill="1" applyBorder="1" applyAlignment="1">
      <alignment/>
    </xf>
    <xf numFmtId="0" fontId="14" fillId="38" borderId="14" xfId="0" applyNumberFormat="1" applyFont="1" applyFill="1" applyBorder="1" applyAlignment="1">
      <alignment horizontal="center" vertical="center"/>
    </xf>
    <xf numFmtId="0" fontId="14" fillId="23" borderId="15" xfId="0" applyNumberFormat="1" applyFont="1" applyFill="1" applyBorder="1" applyAlignment="1">
      <alignment/>
    </xf>
    <xf numFmtId="1" fontId="0" fillId="23" borderId="0" xfId="0" applyNumberFormat="1" applyFill="1" applyAlignment="1">
      <alignment vertical="center"/>
    </xf>
    <xf numFmtId="0" fontId="0" fillId="38" borderId="14" xfId="0" applyNumberFormat="1" applyFont="1" applyFill="1" applyBorder="1" applyAlignment="1">
      <alignment horizontal="center" vertical="center" wrapText="1"/>
    </xf>
    <xf numFmtId="0" fontId="15" fillId="23" borderId="0" xfId="0" applyNumberFormat="1" applyFont="1" applyFill="1" applyAlignment="1">
      <alignment horizontal="center" vertical="center"/>
    </xf>
    <xf numFmtId="10" fontId="0" fillId="39" borderId="14" xfId="71" applyNumberFormat="1" applyFont="1" applyFill="1" applyBorder="1" applyAlignment="1" applyProtection="1">
      <alignment horizontal="center"/>
      <protection locked="0"/>
    </xf>
    <xf numFmtId="9" fontId="0" fillId="39" borderId="14" xfId="71" applyNumberFormat="1" applyFont="1" applyFill="1" applyBorder="1" applyAlignment="1" applyProtection="1">
      <alignment horizontal="center"/>
      <protection locked="0"/>
    </xf>
    <xf numFmtId="3" fontId="0" fillId="39" borderId="14" xfId="0" applyNumberFormat="1" applyFill="1" applyBorder="1" applyAlignment="1" applyProtection="1">
      <alignment horizontal="center"/>
      <protection locked="0"/>
    </xf>
    <xf numFmtId="176" fontId="17" fillId="0" borderId="0" xfId="83" applyNumberFormat="1" applyFont="1" applyFill="1" applyBorder="1" applyAlignment="1" applyProtection="1">
      <alignment horizontal="center"/>
      <protection/>
    </xf>
    <xf numFmtId="3" fontId="0" fillId="23" borderId="14" xfId="0" applyNumberFormat="1" applyFill="1" applyBorder="1" applyAlignment="1" applyProtection="1">
      <alignment horizontal="center"/>
      <protection locked="0"/>
    </xf>
    <xf numFmtId="173" fontId="14" fillId="0" borderId="0" xfId="83" applyNumberFormat="1" applyFont="1" applyFill="1" applyBorder="1" applyAlignment="1" applyProtection="1">
      <alignment horizontal="center"/>
      <protection/>
    </xf>
    <xf numFmtId="0" fontId="0" fillId="23" borderId="15" xfId="0" applyNumberFormat="1" applyFill="1" applyBorder="1" applyAlignment="1">
      <alignment/>
    </xf>
    <xf numFmtId="4" fontId="14" fillId="0" borderId="0" xfId="83" applyNumberFormat="1" applyFont="1" applyFill="1" applyBorder="1" applyAlignment="1" applyProtection="1">
      <alignment horizontal="center"/>
      <protection/>
    </xf>
    <xf numFmtId="1" fontId="0" fillId="23" borderId="0" xfId="0" applyNumberFormat="1" applyFill="1" applyAlignment="1">
      <alignment horizontal="center" vertical="center"/>
    </xf>
    <xf numFmtId="0" fontId="0" fillId="23" borderId="0" xfId="0" applyNumberFormat="1" applyFill="1" applyAlignment="1">
      <alignment vertical="center"/>
    </xf>
    <xf numFmtId="1" fontId="0" fillId="23" borderId="0" xfId="0" applyNumberFormat="1" applyFont="1" applyFill="1" applyAlignment="1">
      <alignment horizontal="left" vertical="center" wrapText="1"/>
    </xf>
    <xf numFmtId="0" fontId="0" fillId="0" borderId="0" xfId="0" applyNumberFormat="1" applyAlignment="1">
      <alignment/>
    </xf>
    <xf numFmtId="173" fontId="18" fillId="0" borderId="14" xfId="83" applyNumberFormat="1" applyFont="1" applyFill="1" applyBorder="1" applyAlignment="1" applyProtection="1">
      <alignment horizontal="center"/>
      <protection/>
    </xf>
    <xf numFmtId="173" fontId="0" fillId="0" borderId="14" xfId="83" applyNumberFormat="1" applyFont="1" applyFill="1" applyBorder="1" applyAlignment="1" applyProtection="1">
      <alignment horizontal="center"/>
      <protection/>
    </xf>
    <xf numFmtId="0" fontId="0" fillId="23" borderId="16" xfId="0" applyNumberFormat="1" applyFill="1" applyBorder="1" applyAlignment="1">
      <alignment/>
    </xf>
    <xf numFmtId="0" fontId="19" fillId="0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/>
    </xf>
    <xf numFmtId="9" fontId="20" fillId="0" borderId="14" xfId="71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>
      <alignment/>
    </xf>
    <xf numFmtId="173" fontId="20" fillId="0" borderId="0" xfId="0" applyNumberFormat="1" applyFont="1" applyFill="1" applyAlignment="1">
      <alignment/>
    </xf>
    <xf numFmtId="2" fontId="20" fillId="0" borderId="14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21" fillId="0" borderId="11" xfId="68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left" vertical="center" wrapText="1"/>
    </xf>
    <xf numFmtId="0" fontId="0" fillId="38" borderId="14" xfId="0" applyNumberFormat="1" applyFont="1" applyFill="1" applyBorder="1" applyAlignment="1">
      <alignment horizontal="center" vertical="center"/>
    </xf>
    <xf numFmtId="1" fontId="0" fillId="39" borderId="14" xfId="0" applyNumberFormat="1" applyFill="1" applyBorder="1" applyAlignment="1" applyProtection="1">
      <alignment/>
      <protection locked="0"/>
    </xf>
    <xf numFmtId="0" fontId="0" fillId="39" borderId="14" xfId="0" applyNumberFormat="1" applyFill="1" applyBorder="1" applyAlignment="1" applyProtection="1">
      <alignment/>
      <protection locked="0"/>
    </xf>
    <xf numFmtId="1" fontId="14" fillId="0" borderId="14" xfId="0" applyNumberFormat="1" applyFont="1" applyBorder="1" applyAlignment="1">
      <alignment horizontal="center"/>
    </xf>
    <xf numFmtId="0" fontId="0" fillId="23" borderId="14" xfId="0" applyNumberFormat="1" applyFont="1" applyFill="1" applyBorder="1" applyAlignment="1">
      <alignment/>
    </xf>
    <xf numFmtId="0" fontId="0" fillId="0" borderId="14" xfId="0" applyNumberFormat="1" applyBorder="1" applyAlignment="1">
      <alignment/>
    </xf>
    <xf numFmtId="0" fontId="0" fillId="39" borderId="14" xfId="0" applyNumberFormat="1" applyFill="1" applyBorder="1" applyAlignment="1">
      <alignment/>
    </xf>
    <xf numFmtId="0" fontId="0" fillId="39" borderId="14" xfId="0" applyNumberFormat="1" applyFill="1" applyBorder="1" applyAlignment="1">
      <alignment horizontal="center" wrapText="1"/>
    </xf>
    <xf numFmtId="9" fontId="0" fillId="0" borderId="14" xfId="71" applyNumberFormat="1" applyFont="1" applyFill="1" applyBorder="1" applyAlignment="1" applyProtection="1">
      <alignment/>
      <protection/>
    </xf>
    <xf numFmtId="9" fontId="0" fillId="0" borderId="14" xfId="71" applyNumberFormat="1" applyFont="1" applyFill="1" applyBorder="1" applyAlignment="1" applyProtection="1">
      <alignment horizontal="center"/>
      <protection/>
    </xf>
    <xf numFmtId="0" fontId="24" fillId="23" borderId="0" xfId="0" applyNumberFormat="1" applyFont="1" applyFill="1" applyAlignment="1">
      <alignment horizontal="center" vertical="center"/>
    </xf>
    <xf numFmtId="0" fontId="14" fillId="23" borderId="14" xfId="0" applyNumberFormat="1" applyFont="1" applyFill="1" applyBorder="1" applyAlignment="1">
      <alignment horizontal="center" vertical="center"/>
    </xf>
    <xf numFmtId="0" fontId="0" fillId="23" borderId="14" xfId="0" applyNumberFormat="1" applyFill="1" applyBorder="1" applyAlignment="1">
      <alignment horizontal="center"/>
    </xf>
    <xf numFmtId="9" fontId="0" fillId="23" borderId="14" xfId="71" applyNumberFormat="1" applyFont="1" applyFill="1" applyBorder="1" applyAlignment="1" applyProtection="1">
      <alignment/>
      <protection/>
    </xf>
    <xf numFmtId="2" fontId="0" fillId="23" borderId="14" xfId="0" applyNumberFormat="1" applyFill="1" applyBorder="1" applyAlignment="1">
      <alignment/>
    </xf>
    <xf numFmtId="0" fontId="25" fillId="23" borderId="0" xfId="0" applyNumberFormat="1" applyFont="1" applyFill="1" applyAlignment="1">
      <alignment/>
    </xf>
    <xf numFmtId="0" fontId="26" fillId="40" borderId="17" xfId="0" applyNumberFormat="1" applyFont="1" applyFill="1" applyBorder="1" applyAlignment="1">
      <alignment horizontal="center" vertical="center" wrapText="1"/>
    </xf>
    <xf numFmtId="0" fontId="26" fillId="40" borderId="18" xfId="0" applyNumberFormat="1" applyFont="1" applyFill="1" applyBorder="1" applyAlignment="1">
      <alignment horizontal="center" vertical="center" wrapText="1"/>
    </xf>
    <xf numFmtId="0" fontId="27" fillId="40" borderId="17" xfId="0" applyNumberFormat="1" applyFont="1" applyFill="1" applyBorder="1" applyAlignment="1">
      <alignment horizontal="center" vertical="center" wrapText="1"/>
    </xf>
    <xf numFmtId="0" fontId="25" fillId="23" borderId="11" xfId="68" applyNumberFormat="1" applyFont="1" applyFill="1" applyBorder="1" applyAlignment="1" applyProtection="1">
      <alignment horizontal="left" wrapText="1"/>
      <protection/>
    </xf>
    <xf numFmtId="0" fontId="25" fillId="23" borderId="0" xfId="0" applyNumberFormat="1" applyFont="1" applyFill="1" applyAlignment="1">
      <alignment horizontal="center" vertical="center"/>
    </xf>
    <xf numFmtId="0" fontId="25" fillId="23" borderId="0" xfId="0" applyNumberFormat="1" applyFont="1" applyFill="1" applyAlignment="1">
      <alignment horizontal="left" vertical="center" wrapText="1"/>
    </xf>
    <xf numFmtId="0" fontId="25" fillId="0" borderId="0" xfId="0" applyNumberFormat="1" applyFont="1" applyAlignment="1">
      <alignment/>
    </xf>
    <xf numFmtId="37" fontId="14" fillId="40" borderId="19" xfId="0" applyNumberFormat="1" applyFont="1" applyFill="1" applyBorder="1" applyAlignment="1" applyProtection="1">
      <alignment horizontal="center" vertical="center"/>
      <protection locked="0"/>
    </xf>
    <xf numFmtId="37" fontId="17" fillId="4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>
      <alignment vertical="center"/>
    </xf>
    <xf numFmtId="4" fontId="17" fillId="40" borderId="19" xfId="0" applyNumberFormat="1" applyFont="1" applyFill="1" applyBorder="1" applyAlignment="1" applyProtection="1">
      <alignment horizontal="center" vertical="center"/>
      <protection locked="0"/>
    </xf>
    <xf numFmtId="37" fontId="28" fillId="40" borderId="21" xfId="0" applyNumberFormat="1" applyFont="1" applyFill="1" applyBorder="1" applyAlignment="1" applyProtection="1">
      <alignment horizontal="center" vertical="center"/>
      <protection locked="0"/>
    </xf>
    <xf numFmtId="4" fontId="16" fillId="4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29" fillId="23" borderId="0" xfId="0" applyNumberFormat="1" applyFont="1" applyFill="1" applyAlignment="1">
      <alignment horizontal="left"/>
    </xf>
    <xf numFmtId="9" fontId="0" fillId="23" borderId="0" xfId="71" applyNumberFormat="1" applyFill="1" applyBorder="1" applyAlignment="1" applyProtection="1">
      <alignment/>
      <protection/>
    </xf>
    <xf numFmtId="0" fontId="14" fillId="23" borderId="0" xfId="0" applyNumberFormat="1" applyFont="1" applyFill="1" applyAlignment="1">
      <alignment/>
    </xf>
    <xf numFmtId="177" fontId="0" fillId="23" borderId="0" xfId="0" applyNumberFormat="1" applyFill="1" applyAlignment="1">
      <alignment/>
    </xf>
    <xf numFmtId="0" fontId="18" fillId="23" borderId="0" xfId="0" applyNumberFormat="1" applyFont="1" applyFill="1" applyAlignment="1">
      <alignment/>
    </xf>
    <xf numFmtId="0" fontId="31" fillId="23" borderId="0" xfId="0" applyNumberFormat="1" applyFont="1" applyFill="1" applyAlignment="1" applyProtection="1">
      <alignment horizontal="left"/>
      <protection locked="0"/>
    </xf>
    <xf numFmtId="0" fontId="32" fillId="23" borderId="0" xfId="0" applyNumberFormat="1" applyFont="1" applyFill="1" applyAlignment="1">
      <alignment/>
    </xf>
    <xf numFmtId="0" fontId="31" fillId="23" borderId="0" xfId="0" applyNumberFormat="1" applyFont="1" applyFill="1" applyAlignment="1">
      <alignment/>
    </xf>
    <xf numFmtId="177" fontId="32" fillId="23" borderId="0" xfId="0" applyNumberFormat="1" applyFont="1" applyFill="1" applyAlignment="1">
      <alignment/>
    </xf>
    <xf numFmtId="0" fontId="30" fillId="23" borderId="22" xfId="0" applyNumberFormat="1" applyFont="1" applyFill="1" applyBorder="1" applyAlignment="1">
      <alignment horizontal="center"/>
    </xf>
    <xf numFmtId="0" fontId="14" fillId="23" borderId="0" xfId="0" applyNumberFormat="1" applyFont="1" applyFill="1" applyAlignment="1">
      <alignment horizontal="left"/>
    </xf>
    <xf numFmtId="0" fontId="34" fillId="41" borderId="14" xfId="0" applyNumberFormat="1" applyFont="1" applyFill="1" applyBorder="1" applyAlignment="1">
      <alignment horizontal="center" vertical="center" wrapText="1"/>
    </xf>
    <xf numFmtId="0" fontId="13" fillId="41" borderId="14" xfId="0" applyNumberFormat="1" applyFont="1" applyFill="1" applyBorder="1" applyAlignment="1">
      <alignment horizontal="center" vertical="center" wrapText="1"/>
    </xf>
    <xf numFmtId="9" fontId="34" fillId="41" borderId="14" xfId="7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34" fillId="41" borderId="14" xfId="0" applyNumberFormat="1" applyFont="1" applyFill="1" applyBorder="1" applyAlignment="1">
      <alignment horizontal="left" vertical="center" wrapText="1"/>
    </xf>
    <xf numFmtId="0" fontId="13" fillId="41" borderId="23" xfId="0" applyNumberFormat="1" applyFont="1" applyFill="1" applyBorder="1" applyAlignment="1">
      <alignment horizontal="center" vertical="center" wrapText="1"/>
    </xf>
    <xf numFmtId="0" fontId="36" fillId="41" borderId="14" xfId="0" applyNumberFormat="1" applyFont="1" applyFill="1" applyBorder="1" applyAlignment="1">
      <alignment horizontal="center" vertical="center" wrapText="1"/>
    </xf>
    <xf numFmtId="0" fontId="37" fillId="0" borderId="23" xfId="0" applyNumberFormat="1" applyFont="1" applyFill="1" applyBorder="1" applyAlignment="1">
      <alignment horizontal="center" vertical="center" wrapText="1"/>
    </xf>
    <xf numFmtId="179" fontId="39" fillId="38" borderId="14" xfId="0" applyNumberFormat="1" applyFont="1" applyFill="1" applyBorder="1" applyAlignment="1">
      <alignment horizontal="left"/>
    </xf>
    <xf numFmtId="176" fontId="28" fillId="42" borderId="14" xfId="83" applyNumberFormat="1" applyFont="1" applyFill="1" applyBorder="1" applyAlignment="1" applyProtection="1">
      <alignment horizontal="center"/>
      <protection/>
    </xf>
    <xf numFmtId="3" fontId="28" fillId="42" borderId="14" xfId="0" applyNumberFormat="1" applyFont="1" applyFill="1" applyBorder="1" applyAlignment="1">
      <alignment horizontal="center"/>
    </xf>
    <xf numFmtId="9" fontId="39" fillId="42" borderId="14" xfId="71" applyNumberFormat="1" applyFont="1" applyFill="1" applyBorder="1" applyAlignment="1" applyProtection="1">
      <alignment horizontal="center"/>
      <protection/>
    </xf>
    <xf numFmtId="3" fontId="39" fillId="43" borderId="14" xfId="0" applyNumberFormat="1" applyFont="1" applyFill="1" applyBorder="1" applyAlignment="1" applyProtection="1">
      <alignment horizontal="center"/>
      <protection locked="0"/>
    </xf>
    <xf numFmtId="38" fontId="28" fillId="42" borderId="14" xfId="0" applyNumberFormat="1" applyFont="1" applyFill="1" applyBorder="1" applyAlignment="1">
      <alignment horizontal="center"/>
    </xf>
    <xf numFmtId="9" fontId="40" fillId="43" borderId="14" xfId="71" applyNumberFormat="1" applyFont="1" applyFill="1" applyBorder="1" applyAlignment="1" applyProtection="1">
      <alignment horizontal="center"/>
      <protection locked="0"/>
    </xf>
    <xf numFmtId="9" fontId="39" fillId="43" borderId="14" xfId="71" applyNumberFormat="1" applyFont="1" applyFill="1" applyBorder="1" applyAlignment="1" applyProtection="1">
      <alignment horizontal="center"/>
      <protection locked="0"/>
    </xf>
    <xf numFmtId="3" fontId="39" fillId="42" borderId="14" xfId="0" applyNumberFormat="1" applyFont="1" applyFill="1" applyBorder="1" applyAlignment="1">
      <alignment horizontal="center"/>
    </xf>
    <xf numFmtId="177" fontId="39" fillId="42" borderId="14" xfId="0" applyNumberFormat="1" applyFont="1" applyFill="1" applyBorder="1" applyAlignment="1">
      <alignment horizontal="center"/>
    </xf>
    <xf numFmtId="4" fontId="28" fillId="43" borderId="14" xfId="0" applyNumberFormat="1" applyFont="1" applyFill="1" applyBorder="1" applyAlignment="1" applyProtection="1">
      <alignment horizontal="center"/>
      <protection locked="0"/>
    </xf>
    <xf numFmtId="3" fontId="39" fillId="0" borderId="0" xfId="0" applyNumberFormat="1" applyFont="1" applyFill="1" applyBorder="1" applyAlignment="1" applyProtection="1">
      <alignment horizontal="center"/>
      <protection locked="0"/>
    </xf>
    <xf numFmtId="3" fontId="40" fillId="40" borderId="14" xfId="0" applyNumberFormat="1" applyFont="1" applyFill="1" applyBorder="1" applyAlignment="1" applyProtection="1">
      <alignment horizontal="center"/>
      <protection locked="0"/>
    </xf>
    <xf numFmtId="10" fontId="40" fillId="40" borderId="14" xfId="0" applyNumberFormat="1" applyFont="1" applyFill="1" applyBorder="1" applyAlignment="1" applyProtection="1">
      <alignment horizontal="center"/>
      <protection locked="0"/>
    </xf>
    <xf numFmtId="9" fontId="0" fillId="0" borderId="0" xfId="71" applyBorder="1" applyProtection="1">
      <alignment/>
      <protection/>
    </xf>
    <xf numFmtId="3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79" fontId="40" fillId="38" borderId="14" xfId="0" applyNumberFormat="1" applyFont="1" applyFill="1" applyBorder="1" applyAlignment="1">
      <alignment horizontal="left"/>
    </xf>
    <xf numFmtId="9" fontId="40" fillId="42" borderId="14" xfId="71" applyNumberFormat="1" applyFont="1" applyFill="1" applyBorder="1" applyAlignment="1" applyProtection="1">
      <alignment horizontal="center"/>
      <protection/>
    </xf>
    <xf numFmtId="3" fontId="40" fillId="0" borderId="0" xfId="0" applyNumberFormat="1" applyFont="1" applyFill="1" applyBorder="1" applyAlignment="1" applyProtection="1">
      <alignment horizontal="center"/>
      <protection locked="0"/>
    </xf>
    <xf numFmtId="10" fontId="0" fillId="40" borderId="0" xfId="71" applyNumberForma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44" borderId="24" xfId="0" applyNumberFormat="1" applyFont="1" applyFill="1" applyBorder="1" applyAlignment="1">
      <alignment horizontal="left"/>
    </xf>
    <xf numFmtId="3" fontId="14" fillId="44" borderId="14" xfId="0" applyNumberFormat="1" applyFont="1" applyFill="1" applyBorder="1" applyAlignment="1">
      <alignment horizontal="center"/>
    </xf>
    <xf numFmtId="9" fontId="14" fillId="44" borderId="14" xfId="71" applyNumberFormat="1" applyFont="1" applyFill="1" applyBorder="1" applyAlignment="1" applyProtection="1">
      <alignment horizontal="center"/>
      <protection/>
    </xf>
    <xf numFmtId="38" fontId="14" fillId="44" borderId="14" xfId="0" applyNumberFormat="1" applyFont="1" applyFill="1" applyBorder="1" applyAlignment="1">
      <alignment horizontal="center"/>
    </xf>
    <xf numFmtId="3" fontId="14" fillId="44" borderId="16" xfId="0" applyNumberFormat="1" applyFont="1" applyFill="1" applyBorder="1" applyAlignment="1">
      <alignment horizontal="center"/>
    </xf>
    <xf numFmtId="177" fontId="14" fillId="44" borderId="16" xfId="0" applyNumberFormat="1" applyFont="1" applyFill="1" applyBorder="1" applyAlignment="1">
      <alignment horizontal="center"/>
    </xf>
    <xf numFmtId="4" fontId="14" fillId="44" borderId="16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10" fontId="14" fillId="44" borderId="14" xfId="71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3" fontId="14" fillId="0" borderId="16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3" fontId="1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3" fontId="43" fillId="0" borderId="26" xfId="0" applyNumberFormat="1" applyFont="1" applyBorder="1" applyAlignment="1">
      <alignment horizontal="center"/>
    </xf>
    <xf numFmtId="0" fontId="43" fillId="45" borderId="25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 textRotation="60"/>
    </xf>
    <xf numFmtId="1" fontId="47" fillId="0" borderId="12" xfId="0" applyNumberFormat="1" applyFont="1" applyBorder="1" applyAlignment="1">
      <alignment horizontal="center"/>
    </xf>
    <xf numFmtId="1" fontId="48" fillId="0" borderId="12" xfId="83" applyNumberFormat="1" applyFont="1" applyFill="1" applyBorder="1" applyAlignment="1" applyProtection="1">
      <alignment horizontal="center"/>
      <protection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3" fillId="0" borderId="12" xfId="0" applyFont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/>
    </xf>
    <xf numFmtId="3" fontId="1" fillId="39" borderId="1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80" fontId="46" fillId="40" borderId="12" xfId="83" applyNumberFormat="1" applyFont="1" applyFill="1" applyBorder="1" applyAlignment="1" applyProtection="1">
      <alignment horizontal="center"/>
      <protection/>
    </xf>
    <xf numFmtId="3" fontId="1" fillId="23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80" fontId="45" fillId="0" borderId="30" xfId="83" applyNumberFormat="1" applyFont="1" applyFill="1" applyBorder="1" applyAlignment="1" applyProtection="1">
      <alignment horizontal="center"/>
      <protection/>
    </xf>
    <xf numFmtId="38" fontId="45" fillId="0" borderId="31" xfId="0" applyNumberFormat="1" applyFont="1" applyFill="1" applyBorder="1" applyAlignment="1">
      <alignment horizontal="center"/>
    </xf>
    <xf numFmtId="180" fontId="45" fillId="0" borderId="0" xfId="83" applyNumberFormat="1" applyFont="1" applyFill="1" applyBorder="1" applyAlignment="1" applyProtection="1">
      <alignment horizontal="center"/>
      <protection/>
    </xf>
    <xf numFmtId="3" fontId="45" fillId="0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3" fontId="43" fillId="0" borderId="2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/>
    </xf>
    <xf numFmtId="0" fontId="43" fillId="0" borderId="12" xfId="0" applyFont="1" applyBorder="1" applyAlignment="1">
      <alignment horizontal="center"/>
    </xf>
    <xf numFmtId="38" fontId="1" fillId="0" borderId="12" xfId="83" applyNumberFormat="1" applyFont="1" applyFill="1" applyBorder="1" applyAlignment="1" applyProtection="1">
      <alignment horizontal="center"/>
      <protection/>
    </xf>
    <xf numFmtId="38" fontId="1" fillId="0" borderId="12" xfId="0" applyNumberFormat="1" applyFont="1" applyFill="1" applyBorder="1" applyAlignment="1">
      <alignment horizontal="center"/>
    </xf>
    <xf numFmtId="181" fontId="6" fillId="0" borderId="0" xfId="0" applyNumberFormat="1" applyFont="1" applyAlignment="1">
      <alignment/>
    </xf>
    <xf numFmtId="38" fontId="1" fillId="0" borderId="12" xfId="0" applyNumberFormat="1" applyFont="1" applyFill="1" applyBorder="1" applyAlignment="1">
      <alignment/>
    </xf>
    <xf numFmtId="38" fontId="51" fillId="0" borderId="12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11" fillId="0" borderId="32" xfId="0" applyFont="1" applyBorder="1" applyAlignment="1">
      <alignment horizontal="left"/>
    </xf>
    <xf numFmtId="0" fontId="41" fillId="0" borderId="32" xfId="0" applyFont="1" applyFill="1" applyBorder="1" applyAlignment="1">
      <alignment/>
    </xf>
    <xf numFmtId="3" fontId="41" fillId="0" borderId="3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" fontId="45" fillId="0" borderId="12" xfId="83" applyNumberFormat="1" applyFont="1" applyFill="1" applyBorder="1" applyAlignment="1" applyProtection="1">
      <alignment horizontal="center"/>
      <protection/>
    </xf>
    <xf numFmtId="3" fontId="45" fillId="40" borderId="12" xfId="0" applyNumberFormat="1" applyFont="1" applyFill="1" applyBorder="1" applyAlignment="1">
      <alignment horizontal="center"/>
    </xf>
    <xf numFmtId="0" fontId="43" fillId="0" borderId="29" xfId="0" applyFont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8" fillId="0" borderId="3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45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3" fontId="43" fillId="4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5" fillId="46" borderId="12" xfId="0" applyFont="1" applyFill="1" applyBorder="1" applyAlignment="1">
      <alignment horizontal="center"/>
    </xf>
    <xf numFmtId="0" fontId="54" fillId="46" borderId="12" xfId="0" applyFont="1" applyFill="1" applyBorder="1" applyAlignment="1">
      <alignment horizontal="center"/>
    </xf>
    <xf numFmtId="0" fontId="52" fillId="46" borderId="12" xfId="0" applyFont="1" applyFill="1" applyBorder="1" applyAlignment="1">
      <alignment horizontal="center"/>
    </xf>
    <xf numFmtId="0" fontId="52" fillId="45" borderId="12" xfId="0" applyFont="1" applyFill="1" applyBorder="1" applyAlignment="1">
      <alignment horizontal="center"/>
    </xf>
    <xf numFmtId="0" fontId="55" fillId="45" borderId="12" xfId="0" applyFont="1" applyFill="1" applyBorder="1" applyAlignment="1">
      <alignment horizontal="center"/>
    </xf>
    <xf numFmtId="1" fontId="45" fillId="0" borderId="12" xfId="0" applyNumberFormat="1" applyFont="1" applyFill="1" applyBorder="1" applyAlignment="1">
      <alignment horizontal="left" vertical="center" wrapText="1"/>
    </xf>
    <xf numFmtId="3" fontId="45" fillId="0" borderId="12" xfId="0" applyNumberFormat="1" applyFont="1" applyFill="1" applyBorder="1" applyAlignment="1">
      <alignment horizontal="right" vertical="center" wrapText="1"/>
    </xf>
    <xf numFmtId="3" fontId="41" fillId="0" borderId="12" xfId="0" applyNumberFormat="1" applyFont="1" applyBorder="1" applyAlignment="1">
      <alignment horizontal="right"/>
    </xf>
    <xf numFmtId="3" fontId="56" fillId="45" borderId="12" xfId="0" applyNumberFormat="1" applyFont="1" applyFill="1" applyBorder="1" applyAlignment="1">
      <alignment horizontal="right"/>
    </xf>
    <xf numFmtId="3" fontId="18" fillId="0" borderId="12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right"/>
    </xf>
    <xf numFmtId="3" fontId="18" fillId="46" borderId="12" xfId="0" applyNumberFormat="1" applyFont="1" applyFill="1" applyBorder="1" applyAlignment="1">
      <alignment horizontal="right"/>
    </xf>
    <xf numFmtId="3" fontId="55" fillId="45" borderId="12" xfId="0" applyNumberFormat="1" applyFont="1" applyFill="1" applyBorder="1" applyAlignment="1">
      <alignment horizontal="right"/>
    </xf>
    <xf numFmtId="1" fontId="57" fillId="0" borderId="12" xfId="0" applyNumberFormat="1" applyFont="1" applyFill="1" applyBorder="1" applyAlignment="1">
      <alignment horizontal="left" vertical="center" wrapText="1"/>
    </xf>
    <xf numFmtId="3" fontId="57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56" fillId="45" borderId="12" xfId="0" applyNumberFormat="1" applyFont="1" applyFill="1" applyBorder="1" applyAlignment="1">
      <alignment/>
    </xf>
    <xf numFmtId="1" fontId="46" fillId="46" borderId="12" xfId="0" applyNumberFormat="1" applyFont="1" applyFill="1" applyBorder="1" applyAlignment="1">
      <alignment horizontal="center"/>
    </xf>
    <xf numFmtId="3" fontId="52" fillId="46" borderId="12" xfId="0" applyNumberFormat="1" applyFont="1" applyFill="1" applyBorder="1" applyAlignment="1">
      <alignment horizontal="right"/>
    </xf>
    <xf numFmtId="3" fontId="52" fillId="46" borderId="12" xfId="0" applyNumberFormat="1" applyFont="1" applyFill="1" applyBorder="1" applyAlignment="1">
      <alignment horizontal="center"/>
    </xf>
    <xf numFmtId="3" fontId="56" fillId="45" borderId="12" xfId="0" applyNumberFormat="1" applyFont="1" applyFill="1" applyBorder="1" applyAlignment="1">
      <alignment horizontal="center"/>
    </xf>
    <xf numFmtId="3" fontId="55" fillId="46" borderId="12" xfId="0" applyNumberFormat="1" applyFont="1" applyFill="1" applyBorder="1" applyAlignment="1">
      <alignment horizontal="center"/>
    </xf>
    <xf numFmtId="3" fontId="55" fillId="46" borderId="12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0" fontId="58" fillId="0" borderId="13" xfId="0" applyFont="1" applyBorder="1" applyAlignment="1">
      <alignment/>
    </xf>
    <xf numFmtId="0" fontId="59" fillId="0" borderId="13" xfId="0" applyFont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0" fontId="54" fillId="40" borderId="12" xfId="0" applyFont="1" applyFill="1" applyBorder="1" applyAlignment="1">
      <alignment horizontal="center"/>
    </xf>
    <xf numFmtId="0" fontId="55" fillId="40" borderId="12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4" fontId="41" fillId="0" borderId="12" xfId="0" applyNumberFormat="1" applyFont="1" applyBorder="1" applyAlignment="1">
      <alignment horizontal="center"/>
    </xf>
    <xf numFmtId="0" fontId="0" fillId="0" borderId="36" xfId="0" applyNumberFormat="1" applyFill="1" applyBorder="1" applyAlignment="1" applyProtection="1">
      <alignment horizontal="center"/>
      <protection locked="0"/>
    </xf>
    <xf numFmtId="3" fontId="56" fillId="0" borderId="29" xfId="0" applyNumberFormat="1" applyFont="1" applyFill="1" applyBorder="1" applyAlignment="1">
      <alignment horizontal="center"/>
    </xf>
    <xf numFmtId="0" fontId="7" fillId="23" borderId="0" xfId="69" applyNumberFormat="1" applyFont="1" applyFill="1" applyBorder="1" applyAlignment="1" applyProtection="1">
      <alignment/>
      <protection/>
    </xf>
    <xf numFmtId="0" fontId="13" fillId="41" borderId="23" xfId="0" applyNumberFormat="1" applyFont="1" applyFill="1" applyBorder="1" applyAlignment="1">
      <alignment horizontal="center" vertical="center"/>
    </xf>
    <xf numFmtId="179" fontId="14" fillId="42" borderId="37" xfId="0" applyNumberFormat="1" applyFont="1" applyFill="1" applyBorder="1" applyAlignment="1">
      <alignment horizontal="left"/>
    </xf>
    <xf numFmtId="9" fontId="40" fillId="42" borderId="37" xfId="71" applyNumberFormat="1" applyFont="1" applyFill="1" applyBorder="1" applyAlignment="1" applyProtection="1">
      <alignment horizontal="center" vertical="center"/>
      <protection/>
    </xf>
    <xf numFmtId="3" fontId="40" fillId="43" borderId="37" xfId="0" applyNumberFormat="1" applyFont="1" applyFill="1" applyBorder="1" applyAlignment="1">
      <alignment horizontal="center"/>
    </xf>
    <xf numFmtId="176" fontId="40" fillId="42" borderId="37" xfId="83" applyNumberFormat="1" applyFont="1" applyFill="1" applyBorder="1" applyAlignment="1" applyProtection="1">
      <alignment horizontal="center" vertical="center"/>
      <protection/>
    </xf>
    <xf numFmtId="0" fontId="61" fillId="0" borderId="0" xfId="69" applyNumberFormat="1" applyFont="1" applyFill="1" applyBorder="1" applyAlignment="1" applyProtection="1">
      <alignment horizontal="center" vertical="center" wrapText="1"/>
      <protection/>
    </xf>
    <xf numFmtId="179" fontId="14" fillId="0" borderId="14" xfId="0" applyNumberFormat="1" applyFont="1" applyFill="1" applyBorder="1" applyAlignment="1">
      <alignment horizontal="right"/>
    </xf>
    <xf numFmtId="176" fontId="14" fillId="38" borderId="37" xfId="83" applyNumberFormat="1" applyFont="1" applyFill="1" applyBorder="1" applyAlignment="1" applyProtection="1">
      <alignment horizontal="center" vertical="center"/>
      <protection/>
    </xf>
    <xf numFmtId="9" fontId="14" fillId="38" borderId="37" xfId="71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0" fontId="27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183" fontId="6" fillId="0" borderId="0" xfId="83" applyNumberFormat="1" applyFont="1" applyFill="1" applyBorder="1" applyAlignment="1" applyProtection="1">
      <alignment/>
      <protection/>
    </xf>
    <xf numFmtId="0" fontId="6" fillId="0" borderId="0" xfId="0" applyNumberFormat="1" applyFont="1" applyAlignment="1">
      <alignment/>
    </xf>
    <xf numFmtId="0" fontId="63" fillId="25" borderId="12" xfId="0" applyNumberFormat="1" applyFont="1" applyFill="1" applyBorder="1" applyAlignment="1">
      <alignment horizontal="center"/>
    </xf>
    <xf numFmtId="0" fontId="63" fillId="25" borderId="18" xfId="0" applyNumberFormat="1" applyFont="1" applyFill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/>
    </xf>
    <xf numFmtId="0" fontId="64" fillId="0" borderId="30" xfId="0" applyNumberFormat="1" applyFont="1" applyBorder="1" applyAlignment="1">
      <alignment horizontal="center"/>
    </xf>
    <xf numFmtId="0" fontId="6" fillId="0" borderId="38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/>
    </xf>
    <xf numFmtId="0" fontId="6" fillId="0" borderId="38" xfId="0" applyNumberFormat="1" applyFont="1" applyFill="1" applyBorder="1" applyAlignment="1">
      <alignment horizontal="left"/>
    </xf>
    <xf numFmtId="0" fontId="64" fillId="0" borderId="30" xfId="0" applyNumberFormat="1" applyFont="1" applyFill="1" applyBorder="1" applyAlignment="1">
      <alignment horizontal="center"/>
    </xf>
    <xf numFmtId="0" fontId="6" fillId="0" borderId="38" xfId="0" applyNumberFormat="1" applyFont="1" applyBorder="1" applyAlignment="1">
      <alignment horizontal="left"/>
    </xf>
    <xf numFmtId="0" fontId="63" fillId="25" borderId="12" xfId="0" applyNumberFormat="1" applyFont="1" applyFill="1" applyBorder="1" applyAlignment="1">
      <alignment horizontal="left"/>
    </xf>
    <xf numFmtId="0" fontId="63" fillId="25" borderId="25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 horizontal="left"/>
    </xf>
    <xf numFmtId="0" fontId="63" fillId="0" borderId="12" xfId="0" applyNumberFormat="1" applyFont="1" applyBorder="1" applyAlignment="1">
      <alignment horizontal="center"/>
    </xf>
    <xf numFmtId="0" fontId="64" fillId="0" borderId="12" xfId="0" applyNumberFormat="1" applyFont="1" applyBorder="1" applyAlignment="1">
      <alignment horizontal="center"/>
    </xf>
    <xf numFmtId="0" fontId="64" fillId="0" borderId="12" xfId="0" applyNumberFormat="1" applyFont="1" applyBorder="1" applyAlignment="1">
      <alignment/>
    </xf>
    <xf numFmtId="0" fontId="64" fillId="0" borderId="12" xfId="0" applyNumberFormat="1" applyFont="1" applyBorder="1" applyAlignment="1">
      <alignment horizontal="left"/>
    </xf>
    <xf numFmtId="0" fontId="63" fillId="0" borderId="18" xfId="0" applyNumberFormat="1" applyFont="1" applyBorder="1" applyAlignment="1">
      <alignment horizontal="center"/>
    </xf>
    <xf numFmtId="0" fontId="63" fillId="0" borderId="12" xfId="0" applyNumberFormat="1" applyFont="1" applyBorder="1" applyAlignment="1">
      <alignment horizontal="left"/>
    </xf>
    <xf numFmtId="0" fontId="6" fillId="0" borderId="30" xfId="0" applyNumberFormat="1" applyFont="1" applyBorder="1" applyAlignment="1">
      <alignment/>
    </xf>
    <xf numFmtId="0" fontId="6" fillId="0" borderId="31" xfId="0" applyNumberFormat="1" applyFont="1" applyBorder="1" applyAlignment="1">
      <alignment/>
    </xf>
    <xf numFmtId="0" fontId="64" fillId="0" borderId="31" xfId="0" applyNumberFormat="1" applyFont="1" applyBorder="1" applyAlignment="1">
      <alignment horizontal="center"/>
    </xf>
    <xf numFmtId="0" fontId="64" fillId="0" borderId="12" xfId="0" applyNumberFormat="1" applyFont="1" applyFill="1" applyBorder="1" applyAlignment="1">
      <alignment horizontal="center"/>
    </xf>
    <xf numFmtId="0" fontId="64" fillId="23" borderId="12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176" fontId="0" fillId="47" borderId="39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23" fillId="23" borderId="14" xfId="0" applyNumberFormat="1" applyFont="1" applyFill="1" applyBorder="1" applyAlignment="1">
      <alignment horizontal="center" wrapText="1"/>
    </xf>
    <xf numFmtId="0" fontId="14" fillId="38" borderId="14" xfId="0" applyNumberFormat="1" applyFont="1" applyFill="1" applyBorder="1" applyAlignment="1">
      <alignment horizontal="center" vertical="center"/>
    </xf>
    <xf numFmtId="0" fontId="0" fillId="38" borderId="14" xfId="0" applyNumberFormat="1" applyFont="1" applyFill="1" applyBorder="1" applyAlignment="1">
      <alignment horizontal="center" vertical="center"/>
    </xf>
    <xf numFmtId="0" fontId="17" fillId="38" borderId="14" xfId="0" applyNumberFormat="1" applyFont="1" applyFill="1" applyBorder="1" applyAlignment="1">
      <alignment horizontal="center" vertical="center" textRotation="45"/>
    </xf>
    <xf numFmtId="0" fontId="0" fillId="38" borderId="14" xfId="0" applyNumberFormat="1" applyFont="1" applyFill="1" applyBorder="1" applyAlignment="1">
      <alignment horizontal="center" vertical="center" wrapText="1"/>
    </xf>
    <xf numFmtId="0" fontId="14" fillId="38" borderId="0" xfId="0" applyNumberFormat="1" applyFont="1" applyFill="1" applyBorder="1" applyAlignment="1">
      <alignment horizontal="center" vertical="center" wrapText="1"/>
    </xf>
    <xf numFmtId="37" fontId="16" fillId="39" borderId="14" xfId="0" applyNumberFormat="1" applyFont="1" applyFill="1" applyBorder="1" applyAlignment="1" applyProtection="1">
      <alignment horizontal="center" vertical="center"/>
      <protection locked="0"/>
    </xf>
    <xf numFmtId="0" fontId="0" fillId="23" borderId="40" xfId="0" applyNumberFormat="1" applyFill="1" applyBorder="1" applyAlignment="1">
      <alignment/>
    </xf>
    <xf numFmtId="0" fontId="14" fillId="38" borderId="14" xfId="0" applyNumberFormat="1" applyFont="1" applyFill="1" applyBorder="1" applyAlignment="1">
      <alignment horizontal="center"/>
    </xf>
    <xf numFmtId="0" fontId="14" fillId="38" borderId="14" xfId="0" applyNumberFormat="1" applyFont="1" applyFill="1" applyBorder="1" applyAlignment="1">
      <alignment horizontal="center" vertical="center" wrapText="1"/>
    </xf>
    <xf numFmtId="0" fontId="0" fillId="23" borderId="0" xfId="0" applyNumberFormat="1" applyFill="1" applyBorder="1" applyAlignment="1">
      <alignment/>
    </xf>
    <xf numFmtId="0" fontId="35" fillId="41" borderId="41" xfId="0" applyNumberFormat="1" applyFont="1" applyFill="1" applyBorder="1" applyAlignment="1">
      <alignment horizontal="center" vertical="center" wrapText="1"/>
    </xf>
    <xf numFmtId="9" fontId="34" fillId="41" borderId="14" xfId="71" applyNumberFormat="1" applyFont="1" applyFill="1" applyBorder="1" applyAlignment="1" applyProtection="1">
      <alignment horizontal="center" vertical="center" wrapText="1"/>
      <protection/>
    </xf>
    <xf numFmtId="0" fontId="38" fillId="41" borderId="23" xfId="0" applyNumberFormat="1" applyFont="1" applyFill="1" applyBorder="1" applyAlignment="1">
      <alignment horizontal="center" vertical="center" wrapText="1"/>
    </xf>
    <xf numFmtId="0" fontId="30" fillId="23" borderId="0" xfId="0" applyNumberFormat="1" applyFont="1" applyFill="1" applyBorder="1" applyAlignment="1">
      <alignment horizontal="center" vertical="center"/>
    </xf>
    <xf numFmtId="0" fontId="30" fillId="23" borderId="12" xfId="0" applyNumberFormat="1" applyFont="1" applyFill="1" applyBorder="1" applyAlignment="1">
      <alignment horizontal="center" vertical="center"/>
    </xf>
    <xf numFmtId="0" fontId="33" fillId="0" borderId="12" xfId="0" applyNumberFormat="1" applyFont="1" applyBorder="1" applyAlignment="1">
      <alignment horizontal="center" vertical="center" wrapText="1"/>
    </xf>
    <xf numFmtId="0" fontId="34" fillId="41" borderId="14" xfId="0" applyNumberFormat="1" applyFont="1" applyFill="1" applyBorder="1" applyAlignment="1">
      <alignment horizontal="center" vertical="center" wrapText="1"/>
    </xf>
    <xf numFmtId="0" fontId="13" fillId="41" borderId="14" xfId="0" applyNumberFormat="1" applyFont="1" applyFill="1" applyBorder="1" applyAlignment="1">
      <alignment horizontal="center" vertical="center" wrapText="1"/>
    </xf>
    <xf numFmtId="178" fontId="34" fillId="41" borderId="23" xfId="0" applyNumberFormat="1" applyFont="1" applyFill="1" applyBorder="1" applyAlignment="1">
      <alignment horizontal="center" vertical="center" wrapText="1"/>
    </xf>
    <xf numFmtId="178" fontId="34" fillId="41" borderId="14" xfId="0" applyNumberFormat="1" applyFont="1" applyFill="1" applyBorder="1" applyAlignment="1">
      <alignment horizontal="center" vertical="center" wrapText="1"/>
    </xf>
    <xf numFmtId="0" fontId="43" fillId="45" borderId="0" xfId="0" applyFont="1" applyFill="1" applyBorder="1" applyAlignment="1">
      <alignment horizontal="center" wrapText="1"/>
    </xf>
    <xf numFmtId="3" fontId="43" fillId="45" borderId="0" xfId="0" applyNumberFormat="1" applyFont="1" applyFill="1" applyBorder="1" applyAlignment="1">
      <alignment horizontal="center"/>
    </xf>
    <xf numFmtId="10" fontId="52" fillId="0" borderId="0" xfId="0" applyNumberFormat="1" applyFont="1" applyFill="1" applyBorder="1" applyAlignment="1">
      <alignment horizontal="center" vertical="center"/>
    </xf>
    <xf numFmtId="179" fontId="46" fillId="48" borderId="0" xfId="83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3" fontId="49" fillId="48" borderId="12" xfId="0" applyNumberFormat="1" applyFont="1" applyFill="1" applyBorder="1" applyAlignment="1">
      <alignment horizontal="center" vertical="center"/>
    </xf>
    <xf numFmtId="3" fontId="49" fillId="48" borderId="12" xfId="0" applyNumberFormat="1" applyFont="1" applyFill="1" applyBorder="1" applyAlignment="1">
      <alignment horizontal="center" vertical="center" wrapText="1"/>
    </xf>
    <xf numFmtId="3" fontId="43" fillId="0" borderId="26" xfId="0" applyNumberFormat="1" applyFont="1" applyFill="1" applyBorder="1" applyAlignment="1">
      <alignment horizontal="center" vertical="center"/>
    </xf>
    <xf numFmtId="3" fontId="43" fillId="0" borderId="26" xfId="0" applyNumberFormat="1" applyFont="1" applyBorder="1" applyAlignment="1">
      <alignment horizontal="center" vertical="center"/>
    </xf>
    <xf numFmtId="0" fontId="43" fillId="49" borderId="12" xfId="0" applyFont="1" applyFill="1" applyBorder="1" applyAlignment="1">
      <alignment horizontal="center" vertical="center" textRotation="45"/>
    </xf>
    <xf numFmtId="3" fontId="43" fillId="0" borderId="12" xfId="0" applyNumberFormat="1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3" fontId="43" fillId="0" borderId="18" xfId="0" applyNumberFormat="1" applyFont="1" applyBorder="1" applyAlignment="1">
      <alignment horizontal="center"/>
    </xf>
    <xf numFmtId="0" fontId="43" fillId="0" borderId="25" xfId="0" applyFont="1" applyFill="1" applyBorder="1" applyAlignment="1">
      <alignment horizontal="center" vertical="top"/>
    </xf>
    <xf numFmtId="0" fontId="55" fillId="46" borderId="12" xfId="0" applyFont="1" applyFill="1" applyBorder="1" applyAlignment="1">
      <alignment horizontal="center"/>
    </xf>
    <xf numFmtId="0" fontId="55" fillId="45" borderId="12" xfId="0" applyFont="1" applyFill="1" applyBorder="1" applyAlignment="1">
      <alignment horizontal="center" vertical="center" wrapText="1"/>
    </xf>
    <xf numFmtId="38" fontId="27" fillId="0" borderId="0" xfId="0" applyNumberFormat="1" applyFont="1" applyBorder="1" applyAlignment="1">
      <alignment horizontal="center" vertical="center"/>
    </xf>
    <xf numFmtId="3" fontId="60" fillId="0" borderId="12" xfId="0" applyNumberFormat="1" applyFont="1" applyBorder="1" applyAlignment="1">
      <alignment horizontal="center" vertical="center"/>
    </xf>
    <xf numFmtId="182" fontId="27" fillId="0" borderId="12" xfId="0" applyNumberFormat="1" applyFont="1" applyBorder="1" applyAlignment="1">
      <alignment horizontal="center" vertical="center"/>
    </xf>
    <xf numFmtId="0" fontId="54" fillId="46" borderId="18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0" fontId="54" fillId="40" borderId="18" xfId="0" applyFont="1" applyFill="1" applyBorder="1" applyAlignment="1">
      <alignment horizontal="center" vertical="center"/>
    </xf>
    <xf numFmtId="0" fontId="0" fillId="46" borderId="18" xfId="0" applyFont="1" applyFill="1" applyBorder="1" applyAlignment="1">
      <alignment horizontal="center" vertical="center"/>
    </xf>
    <xf numFmtId="0" fontId="63" fillId="25" borderId="42" xfId="0" applyNumberFormat="1" applyFont="1" applyFill="1" applyBorder="1" applyAlignment="1">
      <alignment horizontal="center"/>
    </xf>
    <xf numFmtId="0" fontId="63" fillId="25" borderId="12" xfId="0" applyNumberFormat="1" applyFont="1" applyFill="1" applyBorder="1" applyAlignment="1">
      <alignment horizontal="center"/>
    </xf>
    <xf numFmtId="0" fontId="62" fillId="50" borderId="12" xfId="0" applyNumberFormat="1" applyFont="1" applyFill="1" applyBorder="1" applyAlignment="1">
      <alignment horizontal="center"/>
    </xf>
    <xf numFmtId="0" fontId="63" fillId="0" borderId="12" xfId="0" applyNumberFormat="1" applyFont="1" applyFill="1" applyBorder="1" applyAlignment="1">
      <alignment horizontal="center"/>
    </xf>
    <xf numFmtId="0" fontId="63" fillId="25" borderId="12" xfId="0" applyNumberFormat="1" applyFont="1" applyFill="1" applyBorder="1" applyAlignment="1">
      <alignment horizontal="center" vertical="center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f1" xfId="37"/>
    <cellStyle name="cf10" xfId="38"/>
    <cellStyle name="cf11" xfId="39"/>
    <cellStyle name="cf12" xfId="40"/>
    <cellStyle name="cf13" xfId="41"/>
    <cellStyle name="cf14" xfId="42"/>
    <cellStyle name="cf15" xfId="43"/>
    <cellStyle name="cf16" xfId="44"/>
    <cellStyle name="cf17" xfId="45"/>
    <cellStyle name="cf18" xfId="46"/>
    <cellStyle name="cf19" xfId="47"/>
    <cellStyle name="cf2" xfId="48"/>
    <cellStyle name="cf3" xfId="49"/>
    <cellStyle name="cf4" xfId="50"/>
    <cellStyle name="cf5" xfId="51"/>
    <cellStyle name="cf6" xfId="52"/>
    <cellStyle name="cf7" xfId="53"/>
    <cellStyle name="cf8" xfId="54"/>
    <cellStyle name="cf9" xfId="55"/>
    <cellStyle name="Ênfase1" xfId="56"/>
    <cellStyle name="Ênfase2" xfId="57"/>
    <cellStyle name="Ênfase3" xfId="58"/>
    <cellStyle name="Ênfase4" xfId="59"/>
    <cellStyle name="Ênfase5" xfId="60"/>
    <cellStyle name="Ênfase6" xfId="61"/>
    <cellStyle name="Entrada" xfId="62"/>
    <cellStyle name="Incorreto" xfId="63"/>
    <cellStyle name="Currency" xfId="64"/>
    <cellStyle name="Currency [0]" xfId="65"/>
    <cellStyle name="Neutra" xfId="66"/>
    <cellStyle name="Normal 2" xfId="67"/>
    <cellStyle name="Normal_Bovinos" xfId="68"/>
    <cellStyle name="Normal_Recepção Latcinios" xfId="69"/>
    <cellStyle name="Nota" xfId="70"/>
    <cellStyle name="Percent" xfId="71"/>
    <cellStyle name="Saída" xfId="72"/>
    <cellStyle name="Comma [0]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ítulo 5" xfId="81"/>
    <cellStyle name="Total" xfId="82"/>
    <cellStyle name="Comma" xfId="83"/>
  </cellStyles>
  <dxfs count="148"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/>
        <i val="0"/>
        <sz val="8"/>
        <color indexed="17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26"/>
          <bgColor indexed="41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indexed="8"/>
      </font>
      <fill>
        <patternFill patternType="solid">
          <fgColor indexed="16"/>
          <bgColor indexed="10"/>
        </patternFill>
      </fill>
    </dxf>
    <dxf>
      <font>
        <b val="0"/>
        <sz val="8"/>
        <color rgb="FF000000"/>
      </font>
      <fill>
        <patternFill patternType="solid">
          <fgColor rgb="FFC5000B"/>
          <bgColor rgb="FFFF0000"/>
        </patternFill>
      </fill>
      <border/>
    </dxf>
    <dxf>
      <font>
        <b val="0"/>
        <sz val="8"/>
        <color rgb="FF000000"/>
      </font>
      <fill>
        <patternFill patternType="solid">
          <fgColor rgb="FFFFFFCC"/>
          <bgColor rgb="FFFFEFB4"/>
        </patternFill>
      </fill>
      <border>
        <left style="hair">
          <color rgb="FFFF0000"/>
        </left>
        <right style="hair">
          <color rgb="FFFF0000"/>
        </right>
        <top style="hair"/>
        <bottom style="hair">
          <color rgb="FFFF0000"/>
        </bottom>
      </border>
    </dxf>
    <dxf>
      <font>
        <b/>
        <i val="0"/>
        <sz val="8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sz val="8"/>
        <color rgb="FF339933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33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6E6"/>
      <rgbColor rgb="00660066"/>
      <rgbColor rgb="00FF8080"/>
      <rgbColor rgb="000047FF"/>
      <rgbColor rgb="00CCCCCC"/>
      <rgbColor rgb="00000080"/>
      <rgbColor rgb="00FE007F"/>
      <rgbColor rgb="00FFFF00"/>
      <rgbColor rgb="007FFFD4"/>
      <rgbColor rgb="00800080"/>
      <rgbColor rgb="00800000"/>
      <rgbColor rgb="00008080"/>
      <rgbColor rgb="000000FF"/>
      <rgbColor rgb="0000CCFF"/>
      <rgbColor rgb="00FFEFB4"/>
      <rgbColor rgb="00E3E3E3"/>
      <rgbColor rgb="00FFFF99"/>
      <rgbColor rgb="0083CAFF"/>
      <rgbColor rgb="00FF99CC"/>
      <rgbColor rgb="00CC99FF"/>
      <rgbColor rgb="00FFCC99"/>
      <rgbColor rgb="002F75B5"/>
      <rgbColor rgb="0033CC66"/>
      <rgbColor rgb="0099CC00"/>
      <rgbColor rgb="00FFE389"/>
      <rgbColor rgb="00FF9900"/>
      <rgbColor rgb="00FF6633"/>
      <rgbColor rgb="00666699"/>
      <rgbColor rgb="00AEAAAA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J309"/>
  <sheetViews>
    <sheetView showGridLines="0" tabSelected="1" zoomScalePageLayoutView="0" workbookViewId="0" topLeftCell="A1">
      <selection activeCell="A1" sqref="A1"/>
    </sheetView>
  </sheetViews>
  <sheetFormatPr defaultColWidth="7.83984375" defaultRowHeight="16.5" customHeight="1"/>
  <cols>
    <col min="1" max="1" width="20.30859375" style="1" customWidth="1"/>
    <col min="2" max="6" width="8.69140625" style="1" customWidth="1"/>
    <col min="7" max="7" width="7.69140625" style="1" customWidth="1"/>
    <col min="8" max="8" width="10.83984375" style="1" customWidth="1"/>
    <col min="9" max="9" width="2.1484375" style="1" customWidth="1"/>
    <col min="10" max="10" width="17.69140625" style="1" customWidth="1"/>
    <col min="11" max="13" width="7.69140625" style="1" customWidth="1"/>
    <col min="14" max="16" width="9.69140625" style="1" customWidth="1"/>
    <col min="17" max="17" width="7.83984375" style="2" customWidth="1"/>
    <col min="18" max="32" width="8.1484375" style="2" hidden="1" customWidth="1"/>
    <col min="33" max="33" width="0" style="2" hidden="1" customWidth="1"/>
    <col min="34" max="34" width="7.83984375" style="2" customWidth="1"/>
    <col min="35" max="16384" width="7.83984375" style="1" customWidth="1"/>
  </cols>
  <sheetData>
    <row r="1" spans="1:27" ht="12.75" customHeight="1">
      <c r="A1" s="3" t="s">
        <v>0</v>
      </c>
      <c r="B1" s="3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4"/>
      <c r="AA1" s="5" t="s">
        <v>1</v>
      </c>
    </row>
    <row r="2" spans="1:25" ht="12.75" customHeight="1">
      <c r="A2" s="3" t="s">
        <v>2</v>
      </c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6"/>
      <c r="T2" s="7"/>
      <c r="U2" s="8"/>
      <c r="V2" s="8"/>
      <c r="W2" s="8"/>
      <c r="X2" s="8"/>
      <c r="Y2" s="8"/>
    </row>
    <row r="3" spans="1:32" ht="12.75" customHeight="1">
      <c r="A3" s="3" t="s">
        <v>3</v>
      </c>
      <c r="B3" s="3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AA3" s="9" t="s">
        <v>4</v>
      </c>
      <c r="AB3" s="9" t="s">
        <v>5</v>
      </c>
      <c r="AC3" s="9" t="s">
        <v>6</v>
      </c>
      <c r="AD3" s="9" t="s">
        <v>7</v>
      </c>
      <c r="AE3" s="9" t="s">
        <v>8</v>
      </c>
      <c r="AF3" s="9" t="s">
        <v>9</v>
      </c>
    </row>
    <row r="4" spans="1:32" ht="6" customHeight="1">
      <c r="A4" s="10"/>
      <c r="B4" s="10"/>
      <c r="C4" s="10"/>
      <c r="D4" s="10"/>
      <c r="E4" s="10"/>
      <c r="F4" s="10"/>
      <c r="G4" s="10"/>
      <c r="H4" s="2"/>
      <c r="I4" s="2"/>
      <c r="J4" s="2"/>
      <c r="K4" s="2"/>
      <c r="L4" s="2"/>
      <c r="M4" s="2"/>
      <c r="N4" s="2"/>
      <c r="O4" s="2"/>
      <c r="P4" s="2"/>
      <c r="AA4" s="11">
        <v>0.054571443861038696</v>
      </c>
      <c r="AB4" s="11">
        <v>0.0698029424079164</v>
      </c>
      <c r="AC4" s="11">
        <v>0.017939864633769002</v>
      </c>
      <c r="AD4" s="11">
        <v>0.11236766593132501</v>
      </c>
      <c r="AE4" s="12">
        <v>3.55569641207276</v>
      </c>
      <c r="AF4" s="13">
        <v>15.8678902827486</v>
      </c>
    </row>
    <row r="5" spans="1:32" ht="20.25" customHeight="1">
      <c r="A5" s="14" t="s">
        <v>320</v>
      </c>
      <c r="B5" s="15"/>
      <c r="C5" s="15"/>
      <c r="D5" s="15"/>
      <c r="E5" s="15"/>
      <c r="F5" s="15"/>
      <c r="G5" s="15"/>
      <c r="H5" s="2"/>
      <c r="I5" s="2"/>
      <c r="J5" s="2"/>
      <c r="K5" s="2"/>
      <c r="L5" s="2"/>
      <c r="M5" s="2"/>
      <c r="N5" s="2"/>
      <c r="O5" s="2"/>
      <c r="P5" s="2"/>
      <c r="R5" s="16" t="s">
        <v>10</v>
      </c>
      <c r="S5" s="17" t="s">
        <v>319</v>
      </c>
      <c r="AA5" s="11">
        <v>0.218285775444155</v>
      </c>
      <c r="AB5" s="11">
        <v>0.279211769631666</v>
      </c>
      <c r="AC5" s="11">
        <v>0.0717594585350759</v>
      </c>
      <c r="AD5" s="11">
        <v>0.44947066372530003</v>
      </c>
      <c r="AE5" s="12">
        <v>0.25864183526254303</v>
      </c>
      <c r="AF5" s="13">
        <v>2.12459016393443</v>
      </c>
    </row>
    <row r="6" spans="1:30" ht="12.75" customHeight="1">
      <c r="A6" s="1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R6" s="19" t="s">
        <v>11</v>
      </c>
      <c r="S6" s="19" t="s">
        <v>12</v>
      </c>
      <c r="T6" s="19" t="s">
        <v>13</v>
      </c>
      <c r="U6" s="19" t="s">
        <v>14</v>
      </c>
      <c r="V6" s="19" t="s">
        <v>15</v>
      </c>
      <c r="W6" s="19" t="s">
        <v>16</v>
      </c>
      <c r="X6" s="19" t="s">
        <v>7</v>
      </c>
      <c r="Y6" s="19" t="s">
        <v>17</v>
      </c>
      <c r="AA6" s="11">
        <f>AA5/2</f>
        <v>0.1091428877220775</v>
      </c>
      <c r="AB6" s="11">
        <f>AB5/2</f>
        <v>0.139605884815833</v>
      </c>
      <c r="AC6" s="11">
        <f>AC5/2</f>
        <v>0.03587972926753795</v>
      </c>
      <c r="AD6" s="11">
        <f>AD5/2</f>
        <v>0.22473533186265002</v>
      </c>
    </row>
    <row r="7" spans="1:36" ht="16.5" customHeight="1">
      <c r="A7" s="20" t="s">
        <v>18</v>
      </c>
      <c r="B7" s="20" t="s">
        <v>19</v>
      </c>
      <c r="C7" s="20" t="s">
        <v>20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R7" s="7" t="str">
        <f aca="true" t="shared" si="0" ref="R7:R70">+$S$5</f>
        <v>20/21</v>
      </c>
      <c r="S7" s="2" t="str">
        <f>+B7</f>
        <v>0100</v>
      </c>
      <c r="T7" s="21">
        <v>7014</v>
      </c>
      <c r="U7" s="21"/>
      <c r="V7" s="22">
        <f>J11</f>
        <v>30084.363</v>
      </c>
      <c r="Y7" s="23" t="s">
        <v>21</v>
      </c>
      <c r="AJ7" s="24"/>
    </row>
    <row r="8" spans="1:34" ht="6" customHeight="1">
      <c r="A8" s="25"/>
      <c r="B8" s="26"/>
      <c r="C8" s="27"/>
      <c r="D8" s="27"/>
      <c r="E8" s="27"/>
      <c r="F8" s="27"/>
      <c r="G8" s="2"/>
      <c r="H8" s="2"/>
      <c r="I8" s="28"/>
      <c r="J8" s="2"/>
      <c r="K8" s="2"/>
      <c r="L8" s="29"/>
      <c r="M8" s="2"/>
      <c r="N8" s="2"/>
      <c r="O8" s="2"/>
      <c r="P8" s="2"/>
      <c r="R8" s="7" t="str">
        <f t="shared" si="0"/>
        <v>20/21</v>
      </c>
      <c r="S8" s="2" t="str">
        <f aca="true" t="shared" si="1" ref="S8:S21">+S7</f>
        <v>0100</v>
      </c>
      <c r="V8" s="13">
        <f>M11</f>
        <v>20748</v>
      </c>
      <c r="Y8" s="2" t="s">
        <v>22</v>
      </c>
      <c r="AA8" s="30" t="s">
        <v>23</v>
      </c>
      <c r="AB8" s="31">
        <v>10</v>
      </c>
      <c r="AC8" s="30" t="s">
        <v>24</v>
      </c>
      <c r="AD8" s="32">
        <v>3.65</v>
      </c>
      <c r="AE8" s="30" t="s">
        <v>25</v>
      </c>
      <c r="AH8" s="33"/>
    </row>
    <row r="9" spans="1:31" ht="11.25" customHeight="1">
      <c r="A9" s="34"/>
      <c r="B9" s="299" t="s">
        <v>26</v>
      </c>
      <c r="C9" s="307" t="s">
        <v>27</v>
      </c>
      <c r="D9" s="307"/>
      <c r="E9" s="307" t="s">
        <v>28</v>
      </c>
      <c r="F9" s="307"/>
      <c r="G9" s="34"/>
      <c r="H9" s="307" t="s">
        <v>29</v>
      </c>
      <c r="I9" s="2"/>
      <c r="J9" s="303" t="s">
        <v>30</v>
      </c>
      <c r="K9" s="308"/>
      <c r="L9" s="308"/>
      <c r="M9" s="303" t="s">
        <v>31</v>
      </c>
      <c r="N9" s="36"/>
      <c r="O9" s="2"/>
      <c r="P9" s="303" t="s">
        <v>32</v>
      </c>
      <c r="R9" s="7" t="str">
        <f t="shared" si="0"/>
        <v>20/21</v>
      </c>
      <c r="S9" s="2" t="str">
        <f t="shared" si="1"/>
        <v>0100</v>
      </c>
      <c r="T9" s="21" t="s">
        <v>33</v>
      </c>
      <c r="U9" s="21"/>
      <c r="V9" s="21">
        <f>+B11</f>
        <v>30690</v>
      </c>
      <c r="W9" s="37">
        <f>+H17</f>
        <v>248.25278588880283</v>
      </c>
      <c r="X9" s="21">
        <f>B17+C17</f>
        <v>3356.2</v>
      </c>
      <c r="Y9" s="23" t="s">
        <v>34</v>
      </c>
      <c r="AA9" s="30" t="s">
        <v>35</v>
      </c>
      <c r="AB9" s="31">
        <v>2.5</v>
      </c>
      <c r="AC9" s="30" t="s">
        <v>24</v>
      </c>
      <c r="AD9" s="32">
        <v>0.9125000000000001</v>
      </c>
      <c r="AE9" s="30" t="s">
        <v>25</v>
      </c>
    </row>
    <row r="10" spans="1:25" ht="12" customHeight="1">
      <c r="A10" s="34"/>
      <c r="B10" s="299"/>
      <c r="C10" s="38" t="s">
        <v>36</v>
      </c>
      <c r="D10" s="38" t="s">
        <v>37</v>
      </c>
      <c r="E10" s="38" t="s">
        <v>36</v>
      </c>
      <c r="F10" s="38" t="s">
        <v>37</v>
      </c>
      <c r="G10" s="34"/>
      <c r="H10" s="307"/>
      <c r="I10" s="2"/>
      <c r="J10" s="303"/>
      <c r="K10" s="308"/>
      <c r="L10" s="308"/>
      <c r="M10" s="308"/>
      <c r="N10" s="36"/>
      <c r="O10" s="2"/>
      <c r="P10" s="303"/>
      <c r="R10" s="7" t="str">
        <f t="shared" si="0"/>
        <v>20/21</v>
      </c>
      <c r="S10" s="2" t="str">
        <f t="shared" si="1"/>
        <v>0100</v>
      </c>
      <c r="T10" s="21" t="s">
        <v>38</v>
      </c>
      <c r="U10" s="21"/>
      <c r="V10" s="39"/>
      <c r="W10" s="37">
        <f>H18</f>
        <v>224.477929026674</v>
      </c>
      <c r="X10" s="21">
        <f>B18+C18</f>
        <v>2541.8</v>
      </c>
      <c r="Y10" s="23" t="s">
        <v>39</v>
      </c>
    </row>
    <row r="11" spans="1:35" ht="16.5" customHeight="1">
      <c r="A11" s="299" t="s">
        <v>40</v>
      </c>
      <c r="B11" s="304">
        <f>SUM(Reb__Est__por_faixa_etária!O5)</f>
        <v>30690</v>
      </c>
      <c r="C11" s="40">
        <f>'Leite_-_Produção'!Y8</f>
        <v>0.020299771912675138</v>
      </c>
      <c r="D11" s="40">
        <f>100%-(C11+E11+F11)</f>
        <v>0.6597002280873249</v>
      </c>
      <c r="E11" s="41">
        <v>0</v>
      </c>
      <c r="F11" s="41">
        <v>0.32</v>
      </c>
      <c r="G11" s="34" t="str">
        <f>IF(SUM(C12:F12)=0,"",IF(SUM(C11:F11)&lt;1,"&lt;100%",IF(SUM(C11:F11)&gt;1,"&gt;100%","OK")))</f>
        <v>OK</v>
      </c>
      <c r="H11" s="42">
        <f>Reb__Est__por_faixa_etária!B30</f>
        <v>11256</v>
      </c>
      <c r="I11" s="2"/>
      <c r="J11" s="43">
        <f>'Leite_-_Produção'!R8</f>
        <v>30084.363</v>
      </c>
      <c r="K11" s="44"/>
      <c r="L11" s="305"/>
      <c r="M11" s="45">
        <f>TRUNC(((C12+E12)*Bovinos_e_Comerc!$AD$8)+D12*Bovinos_e_Comerc!$AD$9,0)</f>
        <v>20748</v>
      </c>
      <c r="N11" s="46"/>
      <c r="O11" s="2"/>
      <c r="P11" s="47">
        <f>IF(OR(H11="",B11=""),"-",(D12+F12)/H11)</f>
        <v>2.671197583511016</v>
      </c>
      <c r="R11" s="7" t="str">
        <f t="shared" si="0"/>
        <v>20/21</v>
      </c>
      <c r="S11" s="2" t="str">
        <f t="shared" si="1"/>
        <v>0100</v>
      </c>
      <c r="T11" s="48">
        <v>7590</v>
      </c>
      <c r="U11" s="48"/>
      <c r="V11" s="39"/>
      <c r="W11" s="49">
        <f>+G17</f>
        <v>0</v>
      </c>
      <c r="X11" s="21">
        <f>D17</f>
        <v>0</v>
      </c>
      <c r="Y11" s="50" t="s">
        <v>41</v>
      </c>
      <c r="AI11" s="51"/>
    </row>
    <row r="12" spans="1:25" ht="16.5" customHeight="1">
      <c r="A12" s="299"/>
      <c r="B12" s="299"/>
      <c r="C12" s="52">
        <f>+C11*B11</f>
        <v>623</v>
      </c>
      <c r="D12" s="52">
        <f>+D11*B11</f>
        <v>20246.2</v>
      </c>
      <c r="E12" s="53">
        <f>+E11*B11</f>
        <v>0</v>
      </c>
      <c r="F12" s="53">
        <f>+F11*B11</f>
        <v>9820.800000000001</v>
      </c>
      <c r="G12" s="34"/>
      <c r="H12" s="34"/>
      <c r="I12" s="2"/>
      <c r="J12" s="34"/>
      <c r="K12" s="34"/>
      <c r="L12" s="305"/>
      <c r="M12" s="54"/>
      <c r="N12" s="34"/>
      <c r="O12" s="34"/>
      <c r="P12" s="34"/>
      <c r="R12" s="7" t="str">
        <f t="shared" si="0"/>
        <v>20/21</v>
      </c>
      <c r="S12" s="2" t="str">
        <f t="shared" si="1"/>
        <v>0100</v>
      </c>
      <c r="T12" s="21" t="s">
        <v>42</v>
      </c>
      <c r="U12" s="21"/>
      <c r="V12" s="39"/>
      <c r="W12" s="39"/>
      <c r="X12" s="21">
        <f>K17</f>
        <v>3359.2000000000003</v>
      </c>
      <c r="Y12" s="23" t="s">
        <v>43</v>
      </c>
    </row>
    <row r="13" spans="1:25" s="61" customFormat="1" ht="4.5" customHeight="1">
      <c r="A13" s="55"/>
      <c r="B13" s="56"/>
      <c r="C13" s="57"/>
      <c r="D13" s="57"/>
      <c r="E13" s="57"/>
      <c r="F13" s="57"/>
      <c r="G13" s="57"/>
      <c r="H13" s="58"/>
      <c r="I13" s="59"/>
      <c r="J13" s="58"/>
      <c r="K13" s="58"/>
      <c r="L13" s="60"/>
      <c r="M13" s="58"/>
      <c r="N13" s="58"/>
      <c r="O13" s="58"/>
      <c r="P13" s="58"/>
      <c r="R13" s="62" t="str">
        <f t="shared" si="0"/>
        <v>20/21</v>
      </c>
      <c r="S13" s="61" t="str">
        <f t="shared" si="1"/>
        <v>0100</v>
      </c>
      <c r="T13" s="63" t="s">
        <v>44</v>
      </c>
      <c r="U13" s="63"/>
      <c r="V13" s="64"/>
      <c r="W13" s="64"/>
      <c r="X13" s="63">
        <f>K18</f>
        <v>2680</v>
      </c>
      <c r="Y13" s="65" t="s">
        <v>45</v>
      </c>
    </row>
    <row r="14" spans="1:35" ht="16.5" customHeight="1">
      <c r="A14" s="301" t="s">
        <v>46</v>
      </c>
      <c r="B14" s="306" t="s">
        <v>47</v>
      </c>
      <c r="C14" s="306"/>
      <c r="D14" s="306"/>
      <c r="E14" s="306" t="s">
        <v>48</v>
      </c>
      <c r="F14" s="306"/>
      <c r="G14" s="306"/>
      <c r="H14" s="307" t="s">
        <v>49</v>
      </c>
      <c r="I14" s="2"/>
      <c r="J14" s="301" t="s">
        <v>46</v>
      </c>
      <c r="K14" s="306" t="s">
        <v>50</v>
      </c>
      <c r="L14" s="306"/>
      <c r="M14" s="306"/>
      <c r="N14" s="299" t="s">
        <v>51</v>
      </c>
      <c r="O14" s="299"/>
      <c r="P14" s="299"/>
      <c r="R14" s="7" t="str">
        <f t="shared" si="0"/>
        <v>20/21</v>
      </c>
      <c r="S14" s="2" t="str">
        <f t="shared" si="1"/>
        <v>0100</v>
      </c>
      <c r="T14" s="21" t="s">
        <v>52</v>
      </c>
      <c r="U14" s="21"/>
      <c r="V14" s="39"/>
      <c r="W14" s="39"/>
      <c r="X14" s="21">
        <f>L17</f>
        <v>2750.976</v>
      </c>
      <c r="Y14" s="23" t="s">
        <v>53</v>
      </c>
      <c r="AI14" s="51"/>
    </row>
    <row r="15" spans="1:25" ht="16.5" customHeight="1">
      <c r="A15" s="301"/>
      <c r="B15" s="300" t="s">
        <v>54</v>
      </c>
      <c r="C15" s="300" t="s">
        <v>55</v>
      </c>
      <c r="D15" s="300" t="s">
        <v>56</v>
      </c>
      <c r="E15" s="300" t="s">
        <v>54</v>
      </c>
      <c r="F15" s="300" t="s">
        <v>55</v>
      </c>
      <c r="G15" s="300" t="s">
        <v>56</v>
      </c>
      <c r="H15" s="307"/>
      <c r="I15" s="2"/>
      <c r="J15" s="301"/>
      <c r="K15" s="302" t="s">
        <v>57</v>
      </c>
      <c r="L15" s="302" t="s">
        <v>58</v>
      </c>
      <c r="M15" s="302" t="s">
        <v>59</v>
      </c>
      <c r="N15" s="299"/>
      <c r="O15" s="299"/>
      <c r="P15" s="299"/>
      <c r="R15" s="7" t="str">
        <f t="shared" si="0"/>
        <v>20/21</v>
      </c>
      <c r="S15" s="2" t="str">
        <f t="shared" si="1"/>
        <v>0100</v>
      </c>
      <c r="T15" s="21" t="s">
        <v>60</v>
      </c>
      <c r="U15" s="21"/>
      <c r="X15" s="21">
        <f>+L18</f>
        <v>5817.456</v>
      </c>
      <c r="Y15" s="23" t="s">
        <v>61</v>
      </c>
    </row>
    <row r="16" spans="1:34" ht="18" customHeight="1">
      <c r="A16" s="301"/>
      <c r="B16" s="301"/>
      <c r="C16" s="301"/>
      <c r="D16" s="301"/>
      <c r="E16" s="301"/>
      <c r="F16" s="301"/>
      <c r="G16" s="301"/>
      <c r="H16" s="301"/>
      <c r="I16" s="2"/>
      <c r="J16" s="301"/>
      <c r="K16" s="301"/>
      <c r="L16" s="301"/>
      <c r="M16" s="301"/>
      <c r="N16" s="66" t="s">
        <v>62</v>
      </c>
      <c r="O16" s="66" t="s">
        <v>63</v>
      </c>
      <c r="P16" s="66" t="s">
        <v>64</v>
      </c>
      <c r="R16" s="7" t="str">
        <f t="shared" si="0"/>
        <v>20/21</v>
      </c>
      <c r="S16" s="2" t="str">
        <f t="shared" si="1"/>
        <v>0100</v>
      </c>
      <c r="T16" s="21" t="s">
        <v>65</v>
      </c>
      <c r="U16" s="21"/>
      <c r="X16" s="21">
        <f>+M18</f>
        <v>234.4</v>
      </c>
      <c r="Y16" s="23" t="s">
        <v>66</v>
      </c>
      <c r="AH16" s="33"/>
    </row>
    <row r="17" spans="1:25" ht="16.5" customHeight="1">
      <c r="A17" s="66" t="s">
        <v>67</v>
      </c>
      <c r="B17" s="67">
        <f>SUM('GTA_-_NR_FB (relatório para o D'!O5)</f>
        <v>2042</v>
      </c>
      <c r="C17" s="67">
        <f>SUM('GTA_-_NR_FB (relatório para o D'!P5)</f>
        <v>1314.2</v>
      </c>
      <c r="D17" s="68"/>
      <c r="E17" s="68">
        <v>260</v>
      </c>
      <c r="F17" s="68">
        <v>230</v>
      </c>
      <c r="G17" s="68"/>
      <c r="H17" s="69">
        <f>IF(B17="","",((E17*B17+F17*C17)/SUM(B17:C17)))</f>
        <v>248.25278588880283</v>
      </c>
      <c r="I17" s="2"/>
      <c r="J17" s="66" t="s">
        <v>67</v>
      </c>
      <c r="K17" s="68">
        <f>SUM('GTA_-_NR_FB (relatório para o D'!O12)</f>
        <v>3359.2000000000003</v>
      </c>
      <c r="L17" s="68">
        <f>SUM('GTA_-_NR_FB (relatório para o D'!P12)</f>
        <v>2750.976</v>
      </c>
      <c r="M17" s="68">
        <f>SUM('GTA_-_NR_FB (relatório para o D'!Q12)</f>
        <v>21</v>
      </c>
      <c r="N17" s="68"/>
      <c r="O17" s="68"/>
      <c r="P17" s="68"/>
      <c r="R17" s="7" t="str">
        <f t="shared" si="0"/>
        <v>20/21</v>
      </c>
      <c r="S17" s="2" t="str">
        <f t="shared" si="1"/>
        <v>0100</v>
      </c>
      <c r="T17" s="48">
        <v>7006</v>
      </c>
      <c r="U17" s="48"/>
      <c r="X17" s="21">
        <f>N17</f>
        <v>0</v>
      </c>
      <c r="Y17" s="50" t="s">
        <v>68</v>
      </c>
    </row>
    <row r="18" spans="1:25" ht="16.5" customHeight="1">
      <c r="A18" s="66" t="s">
        <v>69</v>
      </c>
      <c r="B18" s="67">
        <f>SUM('GTA_-_NR_FB (relatório para o D'!O6)</f>
        <v>1840</v>
      </c>
      <c r="C18" s="67">
        <f>SUM('GTA_-_NR_FB (relatório para o D'!P6)</f>
        <v>701.8</v>
      </c>
      <c r="D18" s="70"/>
      <c r="E18" s="68">
        <v>230</v>
      </c>
      <c r="F18" s="68">
        <v>210</v>
      </c>
      <c r="G18" s="71"/>
      <c r="H18" s="69">
        <f>IF(B18="","",((E18*B18+F18*C18)/SUM(B18:C18)))</f>
        <v>224.477929026674</v>
      </c>
      <c r="I18" s="2"/>
      <c r="J18" s="66" t="s">
        <v>69</v>
      </c>
      <c r="K18" s="68">
        <f>SUM('GTA_-_NR_FB (relatório para o D'!O13)</f>
        <v>2680</v>
      </c>
      <c r="L18" s="68">
        <f>SUM('GTA_-_NR_FB (relatório para o D'!P13)</f>
        <v>5817.456</v>
      </c>
      <c r="M18" s="72">
        <f>SUM('GTA_-_NR_FB (relatório para o D'!Q13)</f>
        <v>234.4</v>
      </c>
      <c r="N18" s="73"/>
      <c r="O18" s="73"/>
      <c r="P18" s="73"/>
      <c r="R18" s="7" t="str">
        <f t="shared" si="0"/>
        <v>20/21</v>
      </c>
      <c r="S18" s="2" t="str">
        <f t="shared" si="1"/>
        <v>0100</v>
      </c>
      <c r="T18" s="48">
        <v>7007</v>
      </c>
      <c r="U18" s="48"/>
      <c r="X18" s="21">
        <f>O17</f>
        <v>0</v>
      </c>
      <c r="Y18" s="50" t="s">
        <v>70</v>
      </c>
    </row>
    <row r="19" spans="1:25" ht="18" customHeight="1">
      <c r="A19" s="35" t="s">
        <v>71</v>
      </c>
      <c r="B19" s="74">
        <f>IF(B11="","",(B18+B17)/B11)</f>
        <v>0.12649071358748779</v>
      </c>
      <c r="C19" s="74">
        <f>IF(B11="","",(C18+C17)/B11)</f>
        <v>0.0656891495601173</v>
      </c>
      <c r="D19" s="74">
        <f>IF(B11="","",(D18+D17)/B11)</f>
        <v>0</v>
      </c>
      <c r="E19" s="297">
        <f>IF(B11="","",IF(B19+C19+D19&gt;Bovinos_e_Comerc!$AD$5," -&gt; índices (somados) acima da média",IF(B19+C19+D19&lt;Bovinos_e_Comerc!$AD$4," -&gt; índices (somados) abaixo da média","")))</f>
      </c>
      <c r="F19" s="297"/>
      <c r="G19" s="297"/>
      <c r="H19" s="297"/>
      <c r="I19" s="2"/>
      <c r="J19" s="35" t="s">
        <v>71</v>
      </c>
      <c r="K19" s="75">
        <f>IF(B11="","-",(K18+K17)/B11)</f>
        <v>0.19678071032909744</v>
      </c>
      <c r="L19" s="75">
        <f>IF(B11="","-",(L18+L17)/B11)</f>
        <v>0.27919296187683285</v>
      </c>
      <c r="M19" s="75">
        <f>IF(B11="","-",(M18+M17+O17+N17+P17)/B11)</f>
        <v>0.008321928967090258</v>
      </c>
      <c r="N19" s="298" t="str">
        <f>IF(AND(K19="-",L19="-",M19="-"),"",IF(K19&gt;Bovinos_e_Comerc!$AA$5," -&gt; índice(s) fora da faixa média",IF(K19&lt;Bovinos_e_Comerc!$AA$4," -&gt; índice(s) fora da faixa média",IF(L19&gt;Bovinos_e_Comerc!$AB$5," -&gt; índice(s) fora da faixa média",IF(L19&lt;Bovinos_e_Comerc!$AB$4," -&gt; índice(s) fora da faixa média",IF(M19&gt;Bovinos_e_Comerc!$AC$5," -&gt; índice(s) fora da faixa média",IF(M19&lt;Bovinos_e_Comerc!$AC$4," -&gt; índice(s) fora da faixa média","")))))))</f>
        <v> -&gt; índice(s) fora da faixa média</v>
      </c>
      <c r="O19" s="298"/>
      <c r="P19" s="298"/>
      <c r="R19" s="7" t="str">
        <f t="shared" si="0"/>
        <v>20/21</v>
      </c>
      <c r="S19" s="2" t="str">
        <f t="shared" si="1"/>
        <v>0100</v>
      </c>
      <c r="T19" s="48">
        <v>7008</v>
      </c>
      <c r="U19" s="48"/>
      <c r="X19" s="21">
        <f>P17</f>
        <v>0</v>
      </c>
      <c r="Y19" s="50" t="s">
        <v>72</v>
      </c>
    </row>
    <row r="20" spans="1:25" ht="7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R20" s="7" t="str">
        <f t="shared" si="0"/>
        <v>20/21</v>
      </c>
      <c r="S20" s="2" t="str">
        <f t="shared" si="1"/>
        <v>0100</v>
      </c>
      <c r="T20" s="21" t="s">
        <v>73</v>
      </c>
      <c r="U20" s="21"/>
      <c r="X20" s="21">
        <f>+M17</f>
        <v>21</v>
      </c>
      <c r="Y20" s="23" t="s">
        <v>74</v>
      </c>
    </row>
    <row r="21" spans="1:25" ht="7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R21" s="7" t="str">
        <f t="shared" si="0"/>
        <v>20/21</v>
      </c>
      <c r="S21" s="2" t="str">
        <f t="shared" si="1"/>
        <v>0100</v>
      </c>
      <c r="T21" s="21" t="s">
        <v>75</v>
      </c>
      <c r="U21" s="21">
        <f>+H11</f>
        <v>11256</v>
      </c>
      <c r="X21" s="21"/>
      <c r="Y21" s="23" t="s">
        <v>76</v>
      </c>
    </row>
    <row r="22" spans="1:25" ht="16.5" customHeight="1">
      <c r="A22" s="20" t="s">
        <v>18</v>
      </c>
      <c r="B22" s="20" t="s">
        <v>77</v>
      </c>
      <c r="C22" s="20" t="s">
        <v>78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R22" s="7" t="str">
        <f t="shared" si="0"/>
        <v>20/21</v>
      </c>
      <c r="S22" s="2" t="str">
        <f>+B22</f>
        <v>0260</v>
      </c>
      <c r="T22" s="21">
        <v>7014</v>
      </c>
      <c r="U22" s="21"/>
      <c r="V22" s="22">
        <f>J26</f>
        <v>18018.248</v>
      </c>
      <c r="Y22" s="23" t="s">
        <v>21</v>
      </c>
    </row>
    <row r="23" spans="1:25" ht="6" customHeight="1">
      <c r="A23" s="25"/>
      <c r="B23" s="26"/>
      <c r="C23" s="27"/>
      <c r="D23" s="27"/>
      <c r="E23" s="27"/>
      <c r="F23" s="27"/>
      <c r="G23" s="2"/>
      <c r="H23" s="2"/>
      <c r="I23" s="28"/>
      <c r="J23" s="2"/>
      <c r="K23" s="2"/>
      <c r="L23" s="29"/>
      <c r="M23" s="2"/>
      <c r="N23" s="2"/>
      <c r="O23" s="2"/>
      <c r="P23" s="2"/>
      <c r="R23" s="7" t="str">
        <f t="shared" si="0"/>
        <v>20/21</v>
      </c>
      <c r="S23" s="2" t="str">
        <f aca="true" t="shared" si="2" ref="S23:S36">+S22</f>
        <v>0260</v>
      </c>
      <c r="V23" s="13">
        <f>M26</f>
        <v>15365</v>
      </c>
      <c r="Y23" s="2" t="s">
        <v>22</v>
      </c>
    </row>
    <row r="24" spans="1:25" ht="11.25" customHeight="1">
      <c r="A24" s="34"/>
      <c r="B24" s="299" t="s">
        <v>26</v>
      </c>
      <c r="C24" s="307" t="s">
        <v>27</v>
      </c>
      <c r="D24" s="307"/>
      <c r="E24" s="307" t="s">
        <v>28</v>
      </c>
      <c r="F24" s="307"/>
      <c r="G24" s="34"/>
      <c r="H24" s="307" t="s">
        <v>29</v>
      </c>
      <c r="I24" s="2"/>
      <c r="J24" s="303" t="s">
        <v>30</v>
      </c>
      <c r="K24" s="308"/>
      <c r="L24" s="308"/>
      <c r="M24" s="303" t="s">
        <v>31</v>
      </c>
      <c r="N24" s="36"/>
      <c r="O24" s="2"/>
      <c r="P24" s="303" t="s">
        <v>32</v>
      </c>
      <c r="R24" s="7" t="str">
        <f t="shared" si="0"/>
        <v>20/21</v>
      </c>
      <c r="S24" s="2" t="str">
        <f t="shared" si="2"/>
        <v>0260</v>
      </c>
      <c r="T24" s="21" t="s">
        <v>33</v>
      </c>
      <c r="U24" s="21"/>
      <c r="V24" s="21">
        <f>+B26</f>
        <v>13495</v>
      </c>
      <c r="W24" s="37">
        <f>+H32</f>
        <v>243.83709519136406</v>
      </c>
      <c r="X24" s="21">
        <f>B32+C32</f>
        <v>611.4000000000001</v>
      </c>
      <c r="Y24" s="23" t="s">
        <v>34</v>
      </c>
    </row>
    <row r="25" spans="1:25" ht="12" customHeight="1">
      <c r="A25" s="34"/>
      <c r="B25" s="299"/>
      <c r="C25" s="38" t="s">
        <v>36</v>
      </c>
      <c r="D25" s="38" t="s">
        <v>37</v>
      </c>
      <c r="E25" s="38" t="s">
        <v>36</v>
      </c>
      <c r="F25" s="38" t="s">
        <v>37</v>
      </c>
      <c r="G25" s="34"/>
      <c r="H25" s="307"/>
      <c r="I25" s="2"/>
      <c r="J25" s="303"/>
      <c r="K25" s="308"/>
      <c r="L25" s="308"/>
      <c r="M25" s="308"/>
      <c r="N25" s="36"/>
      <c r="O25" s="2"/>
      <c r="P25" s="303"/>
      <c r="R25" s="7" t="str">
        <f t="shared" si="0"/>
        <v>20/21</v>
      </c>
      <c r="S25" s="2" t="str">
        <f t="shared" si="2"/>
        <v>0260</v>
      </c>
      <c r="T25" s="21" t="s">
        <v>38</v>
      </c>
      <c r="U25" s="21"/>
      <c r="V25" s="76"/>
      <c r="W25" s="37">
        <f>H33</f>
        <v>214.46875363668104</v>
      </c>
      <c r="X25" s="21">
        <f>B33+C33</f>
        <v>1718.6</v>
      </c>
      <c r="Y25" s="23" t="s">
        <v>39</v>
      </c>
    </row>
    <row r="26" spans="1:25" ht="16.5" customHeight="1">
      <c r="A26" s="299" t="s">
        <v>40</v>
      </c>
      <c r="B26" s="304">
        <f>SUM(Reb__Est__por_faixa_etária!O6)</f>
        <v>13495</v>
      </c>
      <c r="C26" s="40">
        <f>'Leite_-_Produção'!Y9</f>
        <v>0.005928121526491293</v>
      </c>
      <c r="D26" s="40">
        <f>100%-(C26+E26+F26)</f>
        <v>0.6840718784735087</v>
      </c>
      <c r="E26" s="41">
        <v>0.135</v>
      </c>
      <c r="F26" s="41">
        <v>0.17500000000000002</v>
      </c>
      <c r="G26" s="34" t="str">
        <f>IF(SUM(C27:F27)=0,"",IF(SUM(C26:F26)&lt;1,"&lt;100%",IF(SUM(C26:F26)&gt;1,"&gt;100%","OK")))</f>
        <v>OK</v>
      </c>
      <c r="H26" s="42">
        <f>Reb__Est__por_faixa_etária!B31</f>
        <v>7420</v>
      </c>
      <c r="I26" s="2"/>
      <c r="J26" s="43">
        <f>'Leite_-_Produção'!R9</f>
        <v>18018.248</v>
      </c>
      <c r="K26" s="44"/>
      <c r="L26" s="305"/>
      <c r="M26" s="45">
        <f>TRUNC(((C27+E27)*Bovinos_e_Comerc!$AD$8)+D27*Bovinos_e_Comerc!$AD$9,0)</f>
        <v>15365</v>
      </c>
      <c r="N26" s="46"/>
      <c r="O26" s="2"/>
      <c r="P26" s="47">
        <f>IF(OR(H41="",B26=""),"-",(D27+F27)/H41)</f>
        <v>2.5318137147848874</v>
      </c>
      <c r="R26" s="7" t="str">
        <f t="shared" si="0"/>
        <v>20/21</v>
      </c>
      <c r="S26" s="2" t="str">
        <f t="shared" si="2"/>
        <v>0260</v>
      </c>
      <c r="T26" s="48">
        <v>7590</v>
      </c>
      <c r="U26" s="48"/>
      <c r="V26" s="76"/>
      <c r="W26" s="49">
        <f>+G32</f>
        <v>0</v>
      </c>
      <c r="X26" s="21">
        <f>D32</f>
        <v>0</v>
      </c>
      <c r="Y26" s="50" t="s">
        <v>41</v>
      </c>
    </row>
    <row r="27" spans="1:25" ht="16.5" customHeight="1">
      <c r="A27" s="299"/>
      <c r="B27" s="304"/>
      <c r="C27" s="53">
        <f>+C26*B26</f>
        <v>80</v>
      </c>
      <c r="D27" s="53">
        <f>+D26*B26</f>
        <v>9231.55</v>
      </c>
      <c r="E27" s="53">
        <f>+E26*B26</f>
        <v>1821.825</v>
      </c>
      <c r="F27" s="53">
        <f>+F26*B26</f>
        <v>2361.625</v>
      </c>
      <c r="G27" s="34"/>
      <c r="H27" s="34"/>
      <c r="I27" s="2"/>
      <c r="J27" s="34"/>
      <c r="K27" s="34"/>
      <c r="L27" s="305"/>
      <c r="M27" s="34"/>
      <c r="N27" s="34"/>
      <c r="O27" s="34"/>
      <c r="P27" s="34"/>
      <c r="R27" s="7" t="str">
        <f t="shared" si="0"/>
        <v>20/21</v>
      </c>
      <c r="S27" s="2" t="str">
        <f t="shared" si="2"/>
        <v>0260</v>
      </c>
      <c r="T27" s="21" t="s">
        <v>42</v>
      </c>
      <c r="U27" s="21"/>
      <c r="V27" s="76"/>
      <c r="W27" s="76"/>
      <c r="X27" s="21">
        <f>K32</f>
        <v>1088.8</v>
      </c>
      <c r="Y27" s="23" t="s">
        <v>43</v>
      </c>
    </row>
    <row r="28" spans="1:25" ht="4.5" customHeight="1">
      <c r="A28" s="77"/>
      <c r="B28" s="78">
        <v>3</v>
      </c>
      <c r="C28" s="79"/>
      <c r="D28" s="79"/>
      <c r="E28" s="79"/>
      <c r="F28" s="79"/>
      <c r="G28" s="79"/>
      <c r="H28" s="34"/>
      <c r="I28" s="28"/>
      <c r="J28" s="34"/>
      <c r="K28" s="34"/>
      <c r="L28" s="80"/>
      <c r="M28" s="34"/>
      <c r="N28" s="34"/>
      <c r="O28" s="34"/>
      <c r="P28" s="34"/>
      <c r="R28" s="7" t="str">
        <f t="shared" si="0"/>
        <v>20/21</v>
      </c>
      <c r="S28" s="2" t="str">
        <f t="shared" si="2"/>
        <v>0260</v>
      </c>
      <c r="T28" s="21" t="s">
        <v>44</v>
      </c>
      <c r="U28" s="21"/>
      <c r="V28" s="76"/>
      <c r="W28" s="76"/>
      <c r="X28" s="21">
        <f>K33</f>
        <v>1030.38</v>
      </c>
      <c r="Y28" s="23" t="s">
        <v>45</v>
      </c>
    </row>
    <row r="29" spans="1:25" ht="16.5" customHeight="1">
      <c r="A29" s="301" t="s">
        <v>46</v>
      </c>
      <c r="B29" s="306" t="s">
        <v>47</v>
      </c>
      <c r="C29" s="306"/>
      <c r="D29" s="306"/>
      <c r="E29" s="306" t="s">
        <v>48</v>
      </c>
      <c r="F29" s="306"/>
      <c r="G29" s="306"/>
      <c r="H29" s="307" t="s">
        <v>49</v>
      </c>
      <c r="I29" s="2"/>
      <c r="J29" s="301" t="s">
        <v>46</v>
      </c>
      <c r="K29" s="306" t="s">
        <v>50</v>
      </c>
      <c r="L29" s="306"/>
      <c r="M29" s="306"/>
      <c r="N29" s="299" t="s">
        <v>51</v>
      </c>
      <c r="O29" s="299"/>
      <c r="P29" s="299"/>
      <c r="R29" s="7" t="str">
        <f t="shared" si="0"/>
        <v>20/21</v>
      </c>
      <c r="S29" s="2" t="str">
        <f t="shared" si="2"/>
        <v>0260</v>
      </c>
      <c r="T29" s="21" t="s">
        <v>52</v>
      </c>
      <c r="U29" s="21"/>
      <c r="V29" s="76"/>
      <c r="W29" s="76"/>
      <c r="X29" s="21">
        <f>L32</f>
        <v>786.4000000000001</v>
      </c>
      <c r="Y29" s="23" t="s">
        <v>53</v>
      </c>
    </row>
    <row r="30" spans="1:25" ht="16.5" customHeight="1">
      <c r="A30" s="301"/>
      <c r="B30" s="300" t="s">
        <v>54</v>
      </c>
      <c r="C30" s="300" t="s">
        <v>55</v>
      </c>
      <c r="D30" s="300" t="s">
        <v>56</v>
      </c>
      <c r="E30" s="300" t="s">
        <v>54</v>
      </c>
      <c r="F30" s="300" t="s">
        <v>55</v>
      </c>
      <c r="G30" s="300" t="s">
        <v>56</v>
      </c>
      <c r="H30" s="307"/>
      <c r="I30" s="2"/>
      <c r="J30" s="301"/>
      <c r="K30" s="302" t="s">
        <v>57</v>
      </c>
      <c r="L30" s="302" t="s">
        <v>58</v>
      </c>
      <c r="M30" s="302" t="s">
        <v>59</v>
      </c>
      <c r="N30" s="299"/>
      <c r="O30" s="299"/>
      <c r="P30" s="299"/>
      <c r="R30" s="7" t="str">
        <f t="shared" si="0"/>
        <v>20/21</v>
      </c>
      <c r="S30" s="2" t="str">
        <f t="shared" si="2"/>
        <v>0260</v>
      </c>
      <c r="T30" s="21" t="s">
        <v>60</v>
      </c>
      <c r="U30" s="21"/>
      <c r="X30" s="21">
        <f>+L33</f>
        <v>1331.2</v>
      </c>
      <c r="Y30" s="23" t="s">
        <v>61</v>
      </c>
    </row>
    <row r="31" spans="1:25" ht="18" customHeight="1">
      <c r="A31" s="301"/>
      <c r="B31" s="301"/>
      <c r="C31" s="301"/>
      <c r="D31" s="301"/>
      <c r="E31" s="301"/>
      <c r="F31" s="301"/>
      <c r="G31" s="301"/>
      <c r="H31" s="301"/>
      <c r="I31" s="2"/>
      <c r="J31" s="301"/>
      <c r="K31" s="301"/>
      <c r="L31" s="301"/>
      <c r="M31" s="301"/>
      <c r="N31" s="66" t="s">
        <v>62</v>
      </c>
      <c r="O31" s="66" t="s">
        <v>63</v>
      </c>
      <c r="P31" s="66" t="s">
        <v>64</v>
      </c>
      <c r="R31" s="7" t="str">
        <f t="shared" si="0"/>
        <v>20/21</v>
      </c>
      <c r="S31" s="2" t="str">
        <f t="shared" si="2"/>
        <v>0260</v>
      </c>
      <c r="T31" s="21" t="s">
        <v>65</v>
      </c>
      <c r="U31" s="21"/>
      <c r="X31" s="21">
        <f>+M33</f>
        <v>58.400000000000006</v>
      </c>
      <c r="Y31" s="23" t="s">
        <v>66</v>
      </c>
    </row>
    <row r="32" spans="1:25" ht="16.5" customHeight="1">
      <c r="A32" s="66" t="s">
        <v>67</v>
      </c>
      <c r="B32" s="68">
        <f>SUM('GTA_-_NR_FB (relatório para o D'!O19)</f>
        <v>282</v>
      </c>
      <c r="C32" s="68">
        <f>SUM('GTA_-_NR_FB (relatório para o D'!P19)</f>
        <v>329.40000000000003</v>
      </c>
      <c r="D32" s="68"/>
      <c r="E32" s="68">
        <v>260</v>
      </c>
      <c r="F32" s="68">
        <v>230</v>
      </c>
      <c r="G32" s="68"/>
      <c r="H32" s="69">
        <f>IF(B32="","",((E32*B32+F32*C32)/SUM(B32:C32)))</f>
        <v>243.83709519136406</v>
      </c>
      <c r="I32" s="2"/>
      <c r="J32" s="66" t="s">
        <v>67</v>
      </c>
      <c r="K32" s="68">
        <f>SUM('GTA_-_NR_FB (relatório para o D'!O26)</f>
        <v>1088.8</v>
      </c>
      <c r="L32" s="68">
        <f>SUM('GTA_-_NR_FB (relatório para o D'!P26)</f>
        <v>786.4000000000001</v>
      </c>
      <c r="M32" s="68">
        <f>SUM('GTA_-_NR_FB (relatório para o D'!Q26)</f>
        <v>13</v>
      </c>
      <c r="N32" s="68"/>
      <c r="O32" s="68"/>
      <c r="P32" s="68"/>
      <c r="R32" s="7" t="str">
        <f t="shared" si="0"/>
        <v>20/21</v>
      </c>
      <c r="S32" s="2" t="str">
        <f t="shared" si="2"/>
        <v>0260</v>
      </c>
      <c r="T32" s="48">
        <v>7006</v>
      </c>
      <c r="U32" s="48"/>
      <c r="X32" s="21">
        <f>N32</f>
        <v>0</v>
      </c>
      <c r="Y32" s="50" t="s">
        <v>68</v>
      </c>
    </row>
    <row r="33" spans="1:25" ht="16.5" customHeight="1">
      <c r="A33" s="66" t="s">
        <v>69</v>
      </c>
      <c r="B33" s="68">
        <f>SUM('GTA_-_NR_FB (relatório para o D'!O20)</f>
        <v>384</v>
      </c>
      <c r="C33" s="68">
        <f>SUM('GTA_-_NR_FB (relatório para o D'!P20)</f>
        <v>1334.6</v>
      </c>
      <c r="D33" s="34"/>
      <c r="E33" s="68">
        <v>230</v>
      </c>
      <c r="F33" s="68">
        <v>210</v>
      </c>
      <c r="G33" s="71"/>
      <c r="H33" s="69">
        <f>IF(B33="","",((E33*B33+F33*C33)/SUM(B33:C33)))</f>
        <v>214.46875363668104</v>
      </c>
      <c r="I33" s="2"/>
      <c r="J33" s="66" t="s">
        <v>69</v>
      </c>
      <c r="K33" s="68">
        <f>SUM('GTA_-_NR_FB (relatório para o D'!O27)</f>
        <v>1030.38</v>
      </c>
      <c r="L33" s="68">
        <f>SUM('GTA_-_NR_FB (relatório para o D'!P27)</f>
        <v>1331.2</v>
      </c>
      <c r="M33" s="72">
        <f>SUM('GTA_-_NR_FB (relatório para o D'!Q27)</f>
        <v>58.400000000000006</v>
      </c>
      <c r="N33" s="73"/>
      <c r="O33" s="73"/>
      <c r="P33" s="73"/>
      <c r="R33" s="7" t="str">
        <f t="shared" si="0"/>
        <v>20/21</v>
      </c>
      <c r="S33" s="2" t="str">
        <f t="shared" si="2"/>
        <v>0260</v>
      </c>
      <c r="T33" s="48">
        <v>7007</v>
      </c>
      <c r="U33" s="48"/>
      <c r="X33" s="21">
        <f>O32</f>
        <v>0</v>
      </c>
      <c r="Y33" s="50" t="s">
        <v>70</v>
      </c>
    </row>
    <row r="34" spans="1:25" ht="18" customHeight="1">
      <c r="A34" s="35" t="s">
        <v>71</v>
      </c>
      <c r="B34" s="74">
        <f>IF(B26="","",(B33+B32)/B26)</f>
        <v>0.04935161170804001</v>
      </c>
      <c r="C34" s="74">
        <f>IF(B26="","",(C33+C32)/B26)</f>
        <v>0.1233049277510189</v>
      </c>
      <c r="D34" s="74">
        <f>IF(B26="","",(D33+D32)/B26)</f>
        <v>0</v>
      </c>
      <c r="E34" s="297">
        <f>IF(B26="","",IF(B34+C34+D34&gt;Bovinos_e_Comerc!$AD$5," -&gt; índices (somados) acima da média",IF(B34+C34+D34&lt;Bovinos_e_Comerc!$AD$4," -&gt; índices (somados) abaixo da média","")))</f>
      </c>
      <c r="F34" s="297"/>
      <c r="G34" s="297"/>
      <c r="H34" s="297"/>
      <c r="I34" s="2"/>
      <c r="J34" s="35" t="s">
        <v>71</v>
      </c>
      <c r="K34" s="75">
        <f>IF(B26="","-",(K33+K32)/B26)</f>
        <v>0.15703445720637274</v>
      </c>
      <c r="L34" s="75">
        <f>IF(B26="","-",(L33+L32)/B26)</f>
        <v>0.15691737680622456</v>
      </c>
      <c r="M34" s="75">
        <f>IF(B26="","-",(M33+M32+O32+N32+P32)/B26)</f>
        <v>0.005290848462393479</v>
      </c>
      <c r="N34" s="298" t="str">
        <f>IF(AND(K34="-",L34="-",M34="-"),"",IF(K34&gt;Bovinos_e_Comerc!$AA$5," -&gt; índice(s) fora da faixa média",IF(K34&lt;Bovinos_e_Comerc!$AA$4," -&gt; índice(s) fora da faixa média",IF(L34&gt;Bovinos_e_Comerc!$AB$5," -&gt; índice(s) fora da faixa média",IF(L34&lt;Bovinos_e_Comerc!$AB$4," -&gt; índice(s) fora da faixa média",IF(M34&gt;Bovinos_e_Comerc!$AC$5," -&gt; índice(s) fora da faixa média",IF(M34&lt;Bovinos_e_Comerc!$AC$4," -&gt; índice(s) fora da faixa média","")))))))</f>
        <v> -&gt; índice(s) fora da faixa média</v>
      </c>
      <c r="O34" s="298"/>
      <c r="P34" s="298"/>
      <c r="R34" s="7" t="str">
        <f t="shared" si="0"/>
        <v>20/21</v>
      </c>
      <c r="S34" s="2" t="str">
        <f t="shared" si="2"/>
        <v>0260</v>
      </c>
      <c r="T34" s="48">
        <v>7008</v>
      </c>
      <c r="U34" s="48"/>
      <c r="X34" s="21">
        <f>P32</f>
        <v>0</v>
      </c>
      <c r="Y34" s="50" t="s">
        <v>72</v>
      </c>
    </row>
    <row r="35" spans="1:25" ht="8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R35" s="7" t="str">
        <f t="shared" si="0"/>
        <v>20/21</v>
      </c>
      <c r="S35" s="2" t="str">
        <f t="shared" si="2"/>
        <v>0260</v>
      </c>
      <c r="T35" s="21" t="s">
        <v>73</v>
      </c>
      <c r="U35" s="21"/>
      <c r="W35" s="18"/>
      <c r="X35" s="21">
        <f>+M32</f>
        <v>13</v>
      </c>
      <c r="Y35" s="23" t="s">
        <v>74</v>
      </c>
    </row>
    <row r="36" spans="1:25" ht="8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R36" s="7" t="str">
        <f t="shared" si="0"/>
        <v>20/21</v>
      </c>
      <c r="S36" s="2" t="str">
        <f t="shared" si="2"/>
        <v>0260</v>
      </c>
      <c r="T36" s="21" t="s">
        <v>75</v>
      </c>
      <c r="U36" s="21">
        <f>+H41</f>
        <v>4579</v>
      </c>
      <c r="W36" s="18"/>
      <c r="X36" s="21"/>
      <c r="Y36" s="23" t="s">
        <v>76</v>
      </c>
    </row>
    <row r="37" spans="1:25" ht="16.5" customHeight="1">
      <c r="A37" s="20" t="s">
        <v>18</v>
      </c>
      <c r="B37" s="20" t="s">
        <v>79</v>
      </c>
      <c r="C37" s="20" t="s">
        <v>80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R37" s="7" t="str">
        <f t="shared" si="0"/>
        <v>20/21</v>
      </c>
      <c r="S37" s="2" t="str">
        <f>+B37</f>
        <v>0275</v>
      </c>
      <c r="T37" s="21">
        <v>7014</v>
      </c>
      <c r="U37" s="21"/>
      <c r="V37" s="22">
        <f>J41</f>
        <v>10940.556</v>
      </c>
      <c r="Y37" s="23" t="s">
        <v>21</v>
      </c>
    </row>
    <row r="38" spans="1:25" ht="6" customHeight="1">
      <c r="A38" s="25"/>
      <c r="B38" s="26"/>
      <c r="C38" s="27"/>
      <c r="D38" s="27"/>
      <c r="E38" s="27"/>
      <c r="F38" s="27"/>
      <c r="G38" s="2"/>
      <c r="H38" s="2"/>
      <c r="I38" s="28"/>
      <c r="J38" s="2"/>
      <c r="K38" s="2"/>
      <c r="L38" s="29"/>
      <c r="M38" s="2"/>
      <c r="N38" s="2"/>
      <c r="O38" s="2"/>
      <c r="P38" s="2"/>
      <c r="R38" s="7" t="str">
        <f t="shared" si="0"/>
        <v>20/21</v>
      </c>
      <c r="S38" s="2" t="str">
        <f aca="true" t="shared" si="3" ref="S38:S51">+S37</f>
        <v>0275</v>
      </c>
      <c r="V38" s="13">
        <f>M41</f>
        <v>7274</v>
      </c>
      <c r="Y38" s="2" t="s">
        <v>22</v>
      </c>
    </row>
    <row r="39" spans="1:25" ht="11.25" customHeight="1">
      <c r="A39" s="34"/>
      <c r="B39" s="299" t="s">
        <v>26</v>
      </c>
      <c r="C39" s="307" t="s">
        <v>27</v>
      </c>
      <c r="D39" s="307"/>
      <c r="E39" s="307" t="s">
        <v>28</v>
      </c>
      <c r="F39" s="307"/>
      <c r="G39" s="34"/>
      <c r="H39" s="307" t="s">
        <v>29</v>
      </c>
      <c r="I39" s="2"/>
      <c r="J39" s="303" t="s">
        <v>30</v>
      </c>
      <c r="K39" s="308"/>
      <c r="L39" s="308"/>
      <c r="M39" s="303" t="s">
        <v>31</v>
      </c>
      <c r="N39" s="36"/>
      <c r="O39" s="2"/>
      <c r="P39" s="303" t="s">
        <v>32</v>
      </c>
      <c r="R39" s="7" t="str">
        <f t="shared" si="0"/>
        <v>20/21</v>
      </c>
      <c r="S39" s="2" t="str">
        <f t="shared" si="3"/>
        <v>0275</v>
      </c>
      <c r="T39" s="21" t="s">
        <v>33</v>
      </c>
      <c r="U39" s="21"/>
      <c r="V39" s="21">
        <f>+B41</f>
        <v>11674</v>
      </c>
      <c r="W39" s="37">
        <f>+H47</f>
        <v>237.36472945891785</v>
      </c>
      <c r="X39" s="21">
        <f>B47+C47</f>
        <v>399.20000000000005</v>
      </c>
      <c r="Y39" s="23" t="s">
        <v>34</v>
      </c>
    </row>
    <row r="40" spans="1:25" ht="12" customHeight="1">
      <c r="A40" s="34"/>
      <c r="B40" s="299"/>
      <c r="C40" s="38" t="s">
        <v>36</v>
      </c>
      <c r="D40" s="38" t="s">
        <v>37</v>
      </c>
      <c r="E40" s="38" t="s">
        <v>36</v>
      </c>
      <c r="F40" s="38" t="s">
        <v>37</v>
      </c>
      <c r="G40" s="34"/>
      <c r="H40" s="307"/>
      <c r="I40" s="2"/>
      <c r="J40" s="303"/>
      <c r="K40" s="308"/>
      <c r="L40" s="308"/>
      <c r="M40" s="308"/>
      <c r="N40" s="36"/>
      <c r="O40" s="2"/>
      <c r="P40" s="303"/>
      <c r="R40" s="7" t="str">
        <f t="shared" si="0"/>
        <v>20/21</v>
      </c>
      <c r="S40" s="2" t="str">
        <f t="shared" si="3"/>
        <v>0275</v>
      </c>
      <c r="T40" s="21" t="s">
        <v>38</v>
      </c>
      <c r="U40" s="21"/>
      <c r="V40" s="39"/>
      <c r="W40" s="37">
        <f>H48</f>
        <v>217.60095011876484</v>
      </c>
      <c r="X40" s="21">
        <f>B48+C48</f>
        <v>336.8</v>
      </c>
      <c r="Y40" s="23" t="s">
        <v>39</v>
      </c>
    </row>
    <row r="41" spans="1:25" ht="16.5" customHeight="1">
      <c r="A41" s="299" t="s">
        <v>40</v>
      </c>
      <c r="B41" s="304">
        <f>SUM(Reb__Est__por_faixa_etária!O7)</f>
        <v>11674</v>
      </c>
      <c r="C41" s="40">
        <f>'Leite_-_Produção'!Y10</f>
        <v>0.004283022100394038</v>
      </c>
      <c r="D41" s="40">
        <f>100%-(C41+E41+F41)</f>
        <v>0.6657169778996059</v>
      </c>
      <c r="E41" s="41">
        <v>0</v>
      </c>
      <c r="F41" s="41">
        <v>0.33</v>
      </c>
      <c r="G41" s="34" t="str">
        <f>IF(SUM(C42:F42)=0,"",IF(SUM(C41:F41)&lt;1,"&lt;100%",IF(SUM(C41:F41)&gt;1,"&gt;100%","OK")))</f>
        <v>OK</v>
      </c>
      <c r="H41" s="42">
        <f>Reb__Est__por_faixa_etária!B32</f>
        <v>4579</v>
      </c>
      <c r="I41" s="2"/>
      <c r="J41" s="43">
        <f>'Leite_-_Produção'!R10</f>
        <v>10940.556</v>
      </c>
      <c r="K41" s="44"/>
      <c r="L41" s="305"/>
      <c r="M41" s="45">
        <f>TRUNC(((C42+E42)*Bovinos_e_Comerc!$AD$8)+D42*Bovinos_e_Comerc!$AD$9,0)</f>
        <v>7274</v>
      </c>
      <c r="N41" s="46"/>
      <c r="O41" s="2"/>
      <c r="P41" s="47">
        <f>IF(OR(H41="",B41=""),"-",(D42+F42)/H41)</f>
        <v>2.53854553395938</v>
      </c>
      <c r="R41" s="7" t="str">
        <f t="shared" si="0"/>
        <v>20/21</v>
      </c>
      <c r="S41" s="2" t="str">
        <f t="shared" si="3"/>
        <v>0275</v>
      </c>
      <c r="T41" s="48">
        <v>7590</v>
      </c>
      <c r="U41" s="48"/>
      <c r="V41" s="39"/>
      <c r="W41" s="49">
        <f>+G47</f>
        <v>0</v>
      </c>
      <c r="X41" s="21">
        <f>D47</f>
        <v>0</v>
      </c>
      <c r="Y41" s="50" t="s">
        <v>41</v>
      </c>
    </row>
    <row r="42" spans="1:25" ht="16.5" customHeight="1">
      <c r="A42" s="299"/>
      <c r="B42" s="304"/>
      <c r="C42" s="53">
        <f>+C41*B41</f>
        <v>50</v>
      </c>
      <c r="D42" s="53">
        <f>+D41*B41</f>
        <v>7771.58</v>
      </c>
      <c r="E42" s="53">
        <f>+E41*B41</f>
        <v>0</v>
      </c>
      <c r="F42" s="53">
        <f>+F41*B41</f>
        <v>3852.42</v>
      </c>
      <c r="G42" s="34"/>
      <c r="H42" s="34"/>
      <c r="I42" s="2"/>
      <c r="J42" s="34"/>
      <c r="K42" s="34"/>
      <c r="L42" s="305"/>
      <c r="M42" s="34"/>
      <c r="N42" s="34"/>
      <c r="O42" s="34"/>
      <c r="P42" s="34"/>
      <c r="R42" s="7" t="str">
        <f t="shared" si="0"/>
        <v>20/21</v>
      </c>
      <c r="S42" s="2" t="str">
        <f t="shared" si="3"/>
        <v>0275</v>
      </c>
      <c r="T42" s="21" t="s">
        <v>42</v>
      </c>
      <c r="U42" s="21"/>
      <c r="V42" s="39"/>
      <c r="W42" s="39"/>
      <c r="X42" s="21">
        <f>K47</f>
        <v>1564.03</v>
      </c>
      <c r="Y42" s="23" t="s">
        <v>43</v>
      </c>
    </row>
    <row r="43" spans="1:25" ht="4.5" customHeight="1">
      <c r="A43" s="77"/>
      <c r="B43" s="78"/>
      <c r="C43" s="79"/>
      <c r="D43" s="79"/>
      <c r="E43" s="79"/>
      <c r="F43" s="79"/>
      <c r="G43" s="79"/>
      <c r="H43" s="34"/>
      <c r="I43" s="28"/>
      <c r="J43" s="34"/>
      <c r="K43" s="34"/>
      <c r="L43" s="80"/>
      <c r="M43" s="34"/>
      <c r="N43" s="34"/>
      <c r="O43" s="34"/>
      <c r="P43" s="34"/>
      <c r="R43" s="7" t="str">
        <f t="shared" si="0"/>
        <v>20/21</v>
      </c>
      <c r="S43" s="2" t="str">
        <f t="shared" si="3"/>
        <v>0275</v>
      </c>
      <c r="T43" s="21" t="s">
        <v>44</v>
      </c>
      <c r="U43" s="21"/>
      <c r="V43" s="39"/>
      <c r="W43" s="39"/>
      <c r="X43" s="21">
        <f>K48</f>
        <v>1065.3500000000001</v>
      </c>
      <c r="Y43" s="23" t="s">
        <v>45</v>
      </c>
    </row>
    <row r="44" spans="1:25" ht="16.5" customHeight="1">
      <c r="A44" s="301" t="s">
        <v>46</v>
      </c>
      <c r="B44" s="306" t="s">
        <v>47</v>
      </c>
      <c r="C44" s="306"/>
      <c r="D44" s="306"/>
      <c r="E44" s="306" t="s">
        <v>48</v>
      </c>
      <c r="F44" s="306"/>
      <c r="G44" s="306"/>
      <c r="H44" s="307" t="s">
        <v>49</v>
      </c>
      <c r="I44" s="2"/>
      <c r="J44" s="301" t="s">
        <v>46</v>
      </c>
      <c r="K44" s="306" t="s">
        <v>50</v>
      </c>
      <c r="L44" s="306"/>
      <c r="M44" s="306"/>
      <c r="N44" s="299" t="s">
        <v>51</v>
      </c>
      <c r="O44" s="299"/>
      <c r="P44" s="299"/>
      <c r="R44" s="7" t="str">
        <f t="shared" si="0"/>
        <v>20/21</v>
      </c>
      <c r="S44" s="2" t="str">
        <f t="shared" si="3"/>
        <v>0275</v>
      </c>
      <c r="T44" s="21" t="s">
        <v>52</v>
      </c>
      <c r="U44" s="21"/>
      <c r="V44" s="39"/>
      <c r="W44" s="39"/>
      <c r="X44" s="21">
        <f>L47</f>
        <v>1027.8</v>
      </c>
      <c r="Y44" s="23" t="s">
        <v>53</v>
      </c>
    </row>
    <row r="45" spans="1:25" ht="16.5" customHeight="1">
      <c r="A45" s="301"/>
      <c r="B45" s="300" t="s">
        <v>54</v>
      </c>
      <c r="C45" s="300" t="s">
        <v>55</v>
      </c>
      <c r="D45" s="300" t="s">
        <v>56</v>
      </c>
      <c r="E45" s="300" t="s">
        <v>54</v>
      </c>
      <c r="F45" s="300" t="s">
        <v>55</v>
      </c>
      <c r="G45" s="300" t="s">
        <v>56</v>
      </c>
      <c r="H45" s="307"/>
      <c r="I45" s="2"/>
      <c r="J45" s="301"/>
      <c r="K45" s="302" t="s">
        <v>57</v>
      </c>
      <c r="L45" s="302" t="s">
        <v>58</v>
      </c>
      <c r="M45" s="302" t="s">
        <v>59</v>
      </c>
      <c r="N45" s="299"/>
      <c r="O45" s="299"/>
      <c r="P45" s="299"/>
      <c r="R45" s="7" t="str">
        <f t="shared" si="0"/>
        <v>20/21</v>
      </c>
      <c r="S45" s="2" t="str">
        <f t="shared" si="3"/>
        <v>0275</v>
      </c>
      <c r="T45" s="21" t="s">
        <v>60</v>
      </c>
      <c r="U45" s="21"/>
      <c r="X45" s="21">
        <f>+L48</f>
        <v>2229.6</v>
      </c>
      <c r="Y45" s="23" t="s">
        <v>61</v>
      </c>
    </row>
    <row r="46" spans="1:25" ht="18" customHeight="1">
      <c r="A46" s="301"/>
      <c r="B46" s="301"/>
      <c r="C46" s="301"/>
      <c r="D46" s="301"/>
      <c r="E46" s="301"/>
      <c r="F46" s="301"/>
      <c r="G46" s="301"/>
      <c r="H46" s="301"/>
      <c r="I46" s="2"/>
      <c r="J46" s="301"/>
      <c r="K46" s="301"/>
      <c r="L46" s="301"/>
      <c r="M46" s="301"/>
      <c r="N46" s="66" t="s">
        <v>62</v>
      </c>
      <c r="O46" s="66" t="s">
        <v>63</v>
      </c>
      <c r="P46" s="66" t="s">
        <v>64</v>
      </c>
      <c r="R46" s="7" t="str">
        <f t="shared" si="0"/>
        <v>20/21</v>
      </c>
      <c r="S46" s="2" t="str">
        <f t="shared" si="3"/>
        <v>0275</v>
      </c>
      <c r="T46" s="21" t="s">
        <v>65</v>
      </c>
      <c r="U46" s="21"/>
      <c r="X46" s="21">
        <f>+M48</f>
        <v>219.79999999999998</v>
      </c>
      <c r="Y46" s="23" t="s">
        <v>66</v>
      </c>
    </row>
    <row r="47" spans="1:25" ht="16.5" customHeight="1">
      <c r="A47" s="66" t="s">
        <v>67</v>
      </c>
      <c r="B47" s="68">
        <f>SUM('GTA_-_NR_FB (relatório para o D'!O33)</f>
        <v>98</v>
      </c>
      <c r="C47" s="68">
        <f>SUM('GTA_-_NR_FB (relatório para o D'!P33)</f>
        <v>301.20000000000005</v>
      </c>
      <c r="D47" s="68"/>
      <c r="E47" s="68">
        <v>260</v>
      </c>
      <c r="F47" s="68">
        <v>230</v>
      </c>
      <c r="G47" s="68"/>
      <c r="H47" s="69">
        <f>IF(B47="","",((E47*B47+F47*C47)/SUM(B47:C47)))</f>
        <v>237.36472945891785</v>
      </c>
      <c r="I47" s="2"/>
      <c r="J47" s="66" t="s">
        <v>67</v>
      </c>
      <c r="K47" s="68">
        <f>SUM('GTA_-_NR_FB (relatório para o D'!O40)</f>
        <v>1564.03</v>
      </c>
      <c r="L47" s="68">
        <f>SUM('GTA_-_NR_FB (relatório para o D'!P40)</f>
        <v>1027.8</v>
      </c>
      <c r="M47" s="68">
        <f>SUM('GTA_-_NR_FB (relatório para o D'!Q40)</f>
        <v>4</v>
      </c>
      <c r="N47" s="68"/>
      <c r="O47" s="68"/>
      <c r="P47" s="68"/>
      <c r="R47" s="7" t="str">
        <f t="shared" si="0"/>
        <v>20/21</v>
      </c>
      <c r="S47" s="2" t="str">
        <f t="shared" si="3"/>
        <v>0275</v>
      </c>
      <c r="T47" s="48">
        <v>7006</v>
      </c>
      <c r="U47" s="48"/>
      <c r="X47" s="21">
        <f>N47</f>
        <v>0</v>
      </c>
      <c r="Y47" s="50" t="s">
        <v>68</v>
      </c>
    </row>
    <row r="48" spans="1:25" ht="16.5" customHeight="1">
      <c r="A48" s="66" t="s">
        <v>69</v>
      </c>
      <c r="B48" s="68">
        <f>SUM('GTA_-_NR_FB (relatório para o D'!O34)</f>
        <v>128</v>
      </c>
      <c r="C48" s="68">
        <f>SUM('GTA_-_NR_FB (relatório para o D'!P34)</f>
        <v>208.8</v>
      </c>
      <c r="D48" s="34"/>
      <c r="E48" s="68">
        <v>230</v>
      </c>
      <c r="F48" s="68">
        <v>210</v>
      </c>
      <c r="G48" s="71"/>
      <c r="H48" s="69">
        <f>IF(B48="","",((E48*B48+F48*C48)/SUM(B48:C48)))</f>
        <v>217.60095011876484</v>
      </c>
      <c r="I48" s="2"/>
      <c r="J48" s="66" t="s">
        <v>69</v>
      </c>
      <c r="K48" s="68">
        <f>SUM('GTA_-_NR_FB (relatório para o D'!O41)</f>
        <v>1065.3500000000001</v>
      </c>
      <c r="L48" s="68">
        <f>SUM('GTA_-_NR_FB (relatório para o D'!P41)</f>
        <v>2229.6</v>
      </c>
      <c r="M48" s="72">
        <f>SUM('GTA_-_NR_FB (relatório para o D'!Q41)</f>
        <v>219.79999999999998</v>
      </c>
      <c r="N48" s="73"/>
      <c r="O48" s="73"/>
      <c r="P48" s="73"/>
      <c r="R48" s="7" t="str">
        <f t="shared" si="0"/>
        <v>20/21</v>
      </c>
      <c r="S48" s="2" t="str">
        <f t="shared" si="3"/>
        <v>0275</v>
      </c>
      <c r="T48" s="48">
        <v>7007</v>
      </c>
      <c r="U48" s="48"/>
      <c r="X48" s="21">
        <f>O47</f>
        <v>0</v>
      </c>
      <c r="Y48" s="50" t="s">
        <v>70</v>
      </c>
    </row>
    <row r="49" spans="1:25" ht="18" customHeight="1">
      <c r="A49" s="35" t="s">
        <v>71</v>
      </c>
      <c r="B49" s="74">
        <f>IF(B41="","",(B48+B47)/B41)</f>
        <v>0.019359259893781053</v>
      </c>
      <c r="C49" s="74">
        <f>IF(B41="","",(C48+C47)/B41)</f>
        <v>0.04368682542401919</v>
      </c>
      <c r="D49" s="74">
        <f>IF(B41="","",(D48+D47)/B41)</f>
        <v>0</v>
      </c>
      <c r="E49" s="297" t="str">
        <f>IF(B41="","",IF(B49+C49+D49&gt;Bovinos_e_Comerc!$AD$5," -&gt; índices (somados) acima da média",IF(B49+C49+D49&lt;Bovinos_e_Comerc!$AD$4," -&gt; índices (somados) abaixo da média","")))</f>
        <v> -&gt; índices (somados) abaixo da média</v>
      </c>
      <c r="F49" s="297"/>
      <c r="G49" s="297"/>
      <c r="H49" s="297"/>
      <c r="I49" s="2"/>
      <c r="J49" s="35" t="s">
        <v>71</v>
      </c>
      <c r="K49" s="75">
        <f>IF(B41="","-",(K48+K47)/B41)</f>
        <v>0.22523385300668153</v>
      </c>
      <c r="L49" s="75">
        <f>IF(B41="","-",(L48+L47)/B41)</f>
        <v>0.27903032379647075</v>
      </c>
      <c r="M49" s="75">
        <f>IF(B41="","-",(M48+M47+O47+N47+P47)/B41)</f>
        <v>0.019170806921363713</v>
      </c>
      <c r="N49" s="298" t="str">
        <f>IF(AND(K49="-",L49="-",M49="-"),"",IF(K49&gt;Bovinos_e_Comerc!$AA$5," -&gt; índice(s) fora da faixa média",IF(K49&lt;Bovinos_e_Comerc!$AA$4," -&gt; índice(s) fora da faixa média",IF(L49&gt;Bovinos_e_Comerc!$AB$5," -&gt; índice(s) fora da faixa média",IF(L49&lt;Bovinos_e_Comerc!$AB$4," -&gt; índice(s) fora da faixa média",IF(M49&gt;Bovinos_e_Comerc!$AC$5," -&gt; índice(s) fora da faixa média",IF(M49&lt;Bovinos_e_Comerc!$AC$4," -&gt; índice(s) fora da faixa média","")))))))</f>
        <v> -&gt; índice(s) fora da faixa média</v>
      </c>
      <c r="O49" s="298"/>
      <c r="P49" s="298"/>
      <c r="R49" s="7" t="str">
        <f t="shared" si="0"/>
        <v>20/21</v>
      </c>
      <c r="S49" s="2" t="str">
        <f t="shared" si="3"/>
        <v>0275</v>
      </c>
      <c r="T49" s="48">
        <v>7008</v>
      </c>
      <c r="U49" s="48"/>
      <c r="X49" s="21">
        <f>P47</f>
        <v>0</v>
      </c>
      <c r="Y49" s="50" t="s">
        <v>72</v>
      </c>
    </row>
    <row r="50" spans="1:25" ht="7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7" t="str">
        <f t="shared" si="0"/>
        <v>20/21</v>
      </c>
      <c r="S50" s="2" t="str">
        <f t="shared" si="3"/>
        <v>0275</v>
      </c>
      <c r="T50" s="21" t="s">
        <v>73</v>
      </c>
      <c r="U50" s="21"/>
      <c r="X50" s="21">
        <f>+M47</f>
        <v>4</v>
      </c>
      <c r="Y50" s="23" t="s">
        <v>74</v>
      </c>
    </row>
    <row r="51" spans="1:25" ht="7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7" t="str">
        <f t="shared" si="0"/>
        <v>20/21</v>
      </c>
      <c r="S51" s="2" t="str">
        <f t="shared" si="3"/>
        <v>0275</v>
      </c>
      <c r="T51" s="21" t="s">
        <v>75</v>
      </c>
      <c r="U51" s="21">
        <f>+H41</f>
        <v>4579</v>
      </c>
      <c r="X51" s="21"/>
      <c r="Y51" s="23" t="s">
        <v>76</v>
      </c>
    </row>
    <row r="52" spans="1:25" ht="16.5" customHeight="1">
      <c r="A52" s="20" t="s">
        <v>18</v>
      </c>
      <c r="B52" s="20" t="s">
        <v>81</v>
      </c>
      <c r="C52" s="20" t="s">
        <v>82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R52" s="7" t="str">
        <f t="shared" si="0"/>
        <v>20/21</v>
      </c>
      <c r="S52" s="2" t="str">
        <f>+B52</f>
        <v>0315</v>
      </c>
      <c r="T52" s="21">
        <v>7014</v>
      </c>
      <c r="U52" s="21"/>
      <c r="V52" s="2">
        <f>J56</f>
        <v>16786.762</v>
      </c>
      <c r="Y52" s="23" t="s">
        <v>21</v>
      </c>
    </row>
    <row r="53" spans="1:25" ht="6" customHeight="1">
      <c r="A53" s="25"/>
      <c r="B53" s="26"/>
      <c r="C53" s="27"/>
      <c r="D53" s="27"/>
      <c r="E53" s="27"/>
      <c r="F53" s="27"/>
      <c r="G53" s="2"/>
      <c r="H53" s="2"/>
      <c r="I53" s="28"/>
      <c r="J53" s="2"/>
      <c r="K53" s="2"/>
      <c r="L53" s="29"/>
      <c r="M53" s="2"/>
      <c r="N53" s="2"/>
      <c r="O53" s="2"/>
      <c r="P53" s="2"/>
      <c r="R53" s="7" t="str">
        <f t="shared" si="0"/>
        <v>20/21</v>
      </c>
      <c r="S53" s="2" t="str">
        <f aca="true" t="shared" si="4" ref="S53:S66">+S52</f>
        <v>0315</v>
      </c>
      <c r="V53" s="13">
        <f>M56</f>
        <v>10487</v>
      </c>
      <c r="Y53" s="2" t="s">
        <v>22</v>
      </c>
    </row>
    <row r="54" spans="1:25" ht="11.25" customHeight="1">
      <c r="A54" s="34"/>
      <c r="B54" s="299" t="s">
        <v>26</v>
      </c>
      <c r="C54" s="307" t="s">
        <v>27</v>
      </c>
      <c r="D54" s="307"/>
      <c r="E54" s="307" t="s">
        <v>28</v>
      </c>
      <c r="F54" s="307"/>
      <c r="G54" s="34"/>
      <c r="H54" s="307" t="s">
        <v>29</v>
      </c>
      <c r="I54" s="2"/>
      <c r="J54" s="303" t="s">
        <v>30</v>
      </c>
      <c r="K54" s="308"/>
      <c r="L54" s="308"/>
      <c r="M54" s="303" t="s">
        <v>31</v>
      </c>
      <c r="N54" s="36"/>
      <c r="O54" s="2"/>
      <c r="P54" s="303" t="s">
        <v>32</v>
      </c>
      <c r="R54" s="7" t="str">
        <f t="shared" si="0"/>
        <v>20/21</v>
      </c>
      <c r="S54" s="2" t="str">
        <f t="shared" si="4"/>
        <v>0315</v>
      </c>
      <c r="T54" s="21" t="s">
        <v>33</v>
      </c>
      <c r="U54" s="21"/>
      <c r="V54" s="21">
        <f>+B56</f>
        <v>17414</v>
      </c>
      <c r="W54" s="37">
        <f>+H62</f>
        <v>235.56127703398553</v>
      </c>
      <c r="X54" s="21">
        <f>B62+C62</f>
        <v>582.6000000000001</v>
      </c>
      <c r="Y54" s="23" t="s">
        <v>34</v>
      </c>
    </row>
    <row r="55" spans="1:25" ht="12" customHeight="1">
      <c r="A55" s="34"/>
      <c r="B55" s="299"/>
      <c r="C55" s="38" t="s">
        <v>36</v>
      </c>
      <c r="D55" s="38" t="s">
        <v>37</v>
      </c>
      <c r="E55" s="38" t="s">
        <v>36</v>
      </c>
      <c r="F55" s="38" t="s">
        <v>37</v>
      </c>
      <c r="G55" s="34"/>
      <c r="H55" s="307"/>
      <c r="I55" s="2"/>
      <c r="J55" s="303"/>
      <c r="K55" s="308"/>
      <c r="L55" s="308"/>
      <c r="M55" s="308"/>
      <c r="N55" s="36"/>
      <c r="O55" s="2"/>
      <c r="P55" s="303"/>
      <c r="R55" s="7" t="str">
        <f t="shared" si="0"/>
        <v>20/21</v>
      </c>
      <c r="S55" s="2" t="str">
        <f t="shared" si="4"/>
        <v>0315</v>
      </c>
      <c r="T55" s="21" t="s">
        <v>38</v>
      </c>
      <c r="U55" s="21"/>
      <c r="V55" s="76"/>
      <c r="W55" s="37">
        <f>H63</f>
        <v>219.30405656866395</v>
      </c>
      <c r="X55" s="21">
        <f>B63+C63</f>
        <v>537.4</v>
      </c>
      <c r="Y55" s="23" t="s">
        <v>39</v>
      </c>
    </row>
    <row r="56" spans="1:25" ht="16.5" customHeight="1">
      <c r="A56" s="299" t="s">
        <v>40</v>
      </c>
      <c r="B56" s="304">
        <f>SUM(Reb__Est__por_faixa_etária!O8)</f>
        <v>17414</v>
      </c>
      <c r="C56" s="40">
        <f>'Leite_-_Produção'!Y11</f>
        <v>0</v>
      </c>
      <c r="D56" s="40">
        <f>100%-(C56+E56+F56)</f>
        <v>0.6599999999999999</v>
      </c>
      <c r="E56" s="41"/>
      <c r="F56" s="41">
        <v>0.34</v>
      </c>
      <c r="G56" s="34" t="str">
        <f>IF(SUM(C57:F57)=0,"",IF(SUM(C56:F56)&lt;1,"&lt;100%",IF(SUM(C56:F56)&gt;1,"&gt;100%","OK")))</f>
        <v>OK</v>
      </c>
      <c r="H56" s="42">
        <f>Reb__Est__por_faixa_etária!B33</f>
        <v>7475</v>
      </c>
      <c r="I56" s="2"/>
      <c r="J56" s="43">
        <f>'Leite_-_Produção'!R11</f>
        <v>16786.762</v>
      </c>
      <c r="K56" s="44"/>
      <c r="L56" s="305"/>
      <c r="M56" s="45">
        <f>TRUNC(((C57+E57)*Bovinos_e_Comerc!$AD$8)+D57*Bovinos_e_Comerc!$AD$9,0)</f>
        <v>10487</v>
      </c>
      <c r="N56" s="46"/>
      <c r="O56" s="2"/>
      <c r="P56" s="47">
        <f>IF(OR(H56="",B56=""),"-",(D57+F57)/H56)</f>
        <v>2.329632107023411</v>
      </c>
      <c r="R56" s="7" t="str">
        <f t="shared" si="0"/>
        <v>20/21</v>
      </c>
      <c r="S56" s="2" t="str">
        <f t="shared" si="4"/>
        <v>0315</v>
      </c>
      <c r="T56" s="48">
        <v>7590</v>
      </c>
      <c r="U56" s="48"/>
      <c r="V56" s="76"/>
      <c r="W56" s="49">
        <f>+G62</f>
        <v>0</v>
      </c>
      <c r="X56" s="21">
        <f>D62</f>
        <v>0</v>
      </c>
      <c r="Y56" s="50" t="s">
        <v>41</v>
      </c>
    </row>
    <row r="57" spans="1:25" ht="16.5" customHeight="1">
      <c r="A57" s="299"/>
      <c r="B57" s="304"/>
      <c r="C57" s="53">
        <f>+C56*B56</f>
        <v>0</v>
      </c>
      <c r="D57" s="53">
        <f>+D56*B56</f>
        <v>11493.239999999998</v>
      </c>
      <c r="E57" s="53">
        <f>+E56*B56</f>
        <v>0</v>
      </c>
      <c r="F57" s="53">
        <f>+F56*B56</f>
        <v>5920.76</v>
      </c>
      <c r="G57" s="34"/>
      <c r="H57" s="34"/>
      <c r="I57" s="2"/>
      <c r="J57" s="34"/>
      <c r="K57" s="34"/>
      <c r="L57" s="305"/>
      <c r="M57" s="34"/>
      <c r="N57" s="34"/>
      <c r="O57" s="34"/>
      <c r="P57" s="34"/>
      <c r="R57" s="7" t="str">
        <f t="shared" si="0"/>
        <v>20/21</v>
      </c>
      <c r="S57" s="2" t="str">
        <f t="shared" si="4"/>
        <v>0315</v>
      </c>
      <c r="T57" s="21" t="s">
        <v>42</v>
      </c>
      <c r="U57" s="21"/>
      <c r="V57" s="76"/>
      <c r="W57" s="76"/>
      <c r="X57" s="21">
        <f>K62</f>
        <v>1730.52</v>
      </c>
      <c r="Y57" s="23" t="s">
        <v>43</v>
      </c>
    </row>
    <row r="58" spans="1:25" ht="4.5" customHeight="1">
      <c r="A58" s="77"/>
      <c r="B58" s="78"/>
      <c r="C58" s="79"/>
      <c r="D58" s="79"/>
      <c r="E58" s="79"/>
      <c r="F58" s="79"/>
      <c r="G58" s="79"/>
      <c r="H58" s="34"/>
      <c r="I58" s="28"/>
      <c r="J58" s="34"/>
      <c r="K58" s="34"/>
      <c r="L58" s="80"/>
      <c r="M58" s="34"/>
      <c r="N58" s="34"/>
      <c r="O58" s="34"/>
      <c r="P58" s="34"/>
      <c r="R58" s="7" t="str">
        <f t="shared" si="0"/>
        <v>20/21</v>
      </c>
      <c r="S58" s="2" t="str">
        <f t="shared" si="4"/>
        <v>0315</v>
      </c>
      <c r="T58" s="21" t="s">
        <v>44</v>
      </c>
      <c r="U58" s="21"/>
      <c r="V58" s="76"/>
      <c r="W58" s="76"/>
      <c r="X58" s="21">
        <f>K63</f>
        <v>865.6400000000001</v>
      </c>
      <c r="Y58" s="23" t="s">
        <v>45</v>
      </c>
    </row>
    <row r="59" spans="1:25" ht="16.5" customHeight="1">
      <c r="A59" s="301" t="s">
        <v>46</v>
      </c>
      <c r="B59" s="306" t="s">
        <v>47</v>
      </c>
      <c r="C59" s="306"/>
      <c r="D59" s="306"/>
      <c r="E59" s="306" t="s">
        <v>48</v>
      </c>
      <c r="F59" s="306"/>
      <c r="G59" s="306"/>
      <c r="H59" s="307" t="s">
        <v>49</v>
      </c>
      <c r="I59" s="2"/>
      <c r="J59" s="301" t="s">
        <v>46</v>
      </c>
      <c r="K59" s="306" t="s">
        <v>50</v>
      </c>
      <c r="L59" s="306"/>
      <c r="M59" s="306"/>
      <c r="N59" s="299" t="s">
        <v>51</v>
      </c>
      <c r="O59" s="299"/>
      <c r="P59" s="299"/>
      <c r="R59" s="7" t="str">
        <f t="shared" si="0"/>
        <v>20/21</v>
      </c>
      <c r="S59" s="2" t="str">
        <f t="shared" si="4"/>
        <v>0315</v>
      </c>
      <c r="T59" s="21" t="s">
        <v>52</v>
      </c>
      <c r="U59" s="21"/>
      <c r="V59" s="76"/>
      <c r="W59" s="76"/>
      <c r="X59" s="21">
        <f>L62</f>
        <v>1370.7</v>
      </c>
      <c r="Y59" s="23" t="s">
        <v>53</v>
      </c>
    </row>
    <row r="60" spans="1:25" ht="16.5" customHeight="1">
      <c r="A60" s="301"/>
      <c r="B60" s="300" t="s">
        <v>54</v>
      </c>
      <c r="C60" s="300" t="s">
        <v>55</v>
      </c>
      <c r="D60" s="300" t="s">
        <v>56</v>
      </c>
      <c r="E60" s="300" t="s">
        <v>54</v>
      </c>
      <c r="F60" s="300" t="s">
        <v>55</v>
      </c>
      <c r="G60" s="300" t="s">
        <v>56</v>
      </c>
      <c r="H60" s="307"/>
      <c r="I60" s="2"/>
      <c r="J60" s="301"/>
      <c r="K60" s="302" t="s">
        <v>57</v>
      </c>
      <c r="L60" s="302" t="s">
        <v>58</v>
      </c>
      <c r="M60" s="302" t="s">
        <v>59</v>
      </c>
      <c r="N60" s="299"/>
      <c r="O60" s="299"/>
      <c r="P60" s="299"/>
      <c r="R60" s="7" t="str">
        <f t="shared" si="0"/>
        <v>20/21</v>
      </c>
      <c r="S60" s="2" t="str">
        <f t="shared" si="4"/>
        <v>0315</v>
      </c>
      <c r="T60" s="21" t="s">
        <v>60</v>
      </c>
      <c r="U60" s="21"/>
      <c r="X60" s="21">
        <f>+L63</f>
        <v>3006.75</v>
      </c>
      <c r="Y60" s="23" t="s">
        <v>61</v>
      </c>
    </row>
    <row r="61" spans="1:25" ht="18" customHeight="1">
      <c r="A61" s="301"/>
      <c r="B61" s="301"/>
      <c r="C61" s="301"/>
      <c r="D61" s="301"/>
      <c r="E61" s="301"/>
      <c r="F61" s="301"/>
      <c r="G61" s="301"/>
      <c r="H61" s="301"/>
      <c r="I61" s="2"/>
      <c r="J61" s="301"/>
      <c r="K61" s="301"/>
      <c r="L61" s="301"/>
      <c r="M61" s="301"/>
      <c r="N61" s="66" t="s">
        <v>62</v>
      </c>
      <c r="O61" s="66" t="s">
        <v>63</v>
      </c>
      <c r="P61" s="66" t="s">
        <v>64</v>
      </c>
      <c r="R61" s="7" t="str">
        <f t="shared" si="0"/>
        <v>20/21</v>
      </c>
      <c r="S61" s="2" t="str">
        <f t="shared" si="4"/>
        <v>0315</v>
      </c>
      <c r="T61" s="21" t="s">
        <v>65</v>
      </c>
      <c r="U61" s="21"/>
      <c r="X61" s="21">
        <f>+M63</f>
        <v>121.1</v>
      </c>
      <c r="Y61" s="23" t="s">
        <v>66</v>
      </c>
    </row>
    <row r="62" spans="1:25" ht="16.5" customHeight="1">
      <c r="A62" s="66" t="s">
        <v>67</v>
      </c>
      <c r="B62" s="68">
        <f>SUM('GTA_-_NR_FB (relatório para o D'!O47)</f>
        <v>108</v>
      </c>
      <c r="C62" s="68">
        <f>SUM('GTA_-_NR_FB (relatório para o D'!P47)</f>
        <v>474.6000000000001</v>
      </c>
      <c r="D62" s="68"/>
      <c r="E62" s="68">
        <v>260</v>
      </c>
      <c r="F62" s="68">
        <v>230</v>
      </c>
      <c r="G62" s="68"/>
      <c r="H62" s="69">
        <f>IF(B62="","",((E62*B62+F62*C62)/SUM(B62:C62)))</f>
        <v>235.56127703398553</v>
      </c>
      <c r="I62" s="2"/>
      <c r="J62" s="66" t="s">
        <v>67</v>
      </c>
      <c r="K62" s="68">
        <f>SUM('GTA_-_NR_FB (relatório para o D'!O54)</f>
        <v>1730.52</v>
      </c>
      <c r="L62" s="68">
        <f>SUM('GTA_-_NR_FB (relatório para o D'!P54)</f>
        <v>1370.7</v>
      </c>
      <c r="M62" s="68">
        <f>SUM('GTA_-_NR_FB (relatório para o D'!Q54)</f>
        <v>0</v>
      </c>
      <c r="N62" s="68"/>
      <c r="O62" s="68"/>
      <c r="P62" s="68"/>
      <c r="R62" s="7" t="str">
        <f t="shared" si="0"/>
        <v>20/21</v>
      </c>
      <c r="S62" s="2" t="str">
        <f t="shared" si="4"/>
        <v>0315</v>
      </c>
      <c r="T62" s="48">
        <v>7006</v>
      </c>
      <c r="U62" s="48"/>
      <c r="X62" s="21">
        <f>N62</f>
        <v>0</v>
      </c>
      <c r="Y62" s="50" t="s">
        <v>68</v>
      </c>
    </row>
    <row r="63" spans="1:25" ht="16.5" customHeight="1">
      <c r="A63" s="66" t="s">
        <v>69</v>
      </c>
      <c r="B63" s="68">
        <f>SUM('GTA_-_NR_FB (relatório para o D'!O48)</f>
        <v>250</v>
      </c>
      <c r="C63" s="68">
        <f>SUM('GTA_-_NR_FB (relatório para o D'!P48)</f>
        <v>287.4</v>
      </c>
      <c r="D63" s="34"/>
      <c r="E63" s="68">
        <v>230</v>
      </c>
      <c r="F63" s="68">
        <v>210</v>
      </c>
      <c r="G63" s="71"/>
      <c r="H63" s="69">
        <f>IF(B63="","",((E63*B63+F63*C63)/SUM(B63:C63)))</f>
        <v>219.30405656866395</v>
      </c>
      <c r="I63" s="2"/>
      <c r="J63" s="66" t="s">
        <v>69</v>
      </c>
      <c r="K63" s="68">
        <f>SUM('GTA_-_NR_FB (relatório para o D'!O55)</f>
        <v>865.6400000000001</v>
      </c>
      <c r="L63" s="68">
        <f>SUM('GTA_-_NR_FB (relatório para o D'!P55)</f>
        <v>3006.75</v>
      </c>
      <c r="M63" s="72">
        <f>SUM('GTA_-_NR_FB (relatório para o D'!Q55)</f>
        <v>121.1</v>
      </c>
      <c r="N63" s="73"/>
      <c r="O63" s="73"/>
      <c r="P63" s="73"/>
      <c r="R63" s="7" t="str">
        <f t="shared" si="0"/>
        <v>20/21</v>
      </c>
      <c r="S63" s="2" t="str">
        <f t="shared" si="4"/>
        <v>0315</v>
      </c>
      <c r="T63" s="48">
        <v>7007</v>
      </c>
      <c r="U63" s="48"/>
      <c r="X63" s="21">
        <f>O62</f>
        <v>0</v>
      </c>
      <c r="Y63" s="50" t="s">
        <v>70</v>
      </c>
    </row>
    <row r="64" spans="1:25" ht="18" customHeight="1">
      <c r="A64" s="35" t="s">
        <v>71</v>
      </c>
      <c r="B64" s="74">
        <f>IF(B56="","",(B63+B62)/B56)</f>
        <v>0.020558171586080164</v>
      </c>
      <c r="C64" s="74">
        <f>IF(B56="","",(C63+C62)/B56)</f>
        <v>0.04375789594579074</v>
      </c>
      <c r="D64" s="74">
        <f>IF(B56="","",(D63+D62)/B56)</f>
        <v>0</v>
      </c>
      <c r="E64" s="297" t="str">
        <f>IF(B56="","",IF(B64+C64+D64&gt;Bovinos_e_Comerc!$AD$5," -&gt; índices (somados) acima da média",IF(B64+C64+D64&lt;Bovinos_e_Comerc!$AD$4," -&gt; índices (somados) abaixo da média","")))</f>
        <v> -&gt; índices (somados) abaixo da média</v>
      </c>
      <c r="F64" s="297"/>
      <c r="G64" s="297"/>
      <c r="H64" s="297"/>
      <c r="I64" s="2"/>
      <c r="J64" s="35" t="s">
        <v>71</v>
      </c>
      <c r="K64" s="75">
        <f>IF(B56="","-",(K63+K62)/B56)</f>
        <v>0.14908464453887676</v>
      </c>
      <c r="L64" s="75">
        <f>IF(B56="","-",(L63+L62)/B56)</f>
        <v>0.2513753301940967</v>
      </c>
      <c r="M64" s="75">
        <f>IF(B56="","-",(M63+M62+O62+N62+P62)/B56)</f>
        <v>0.006954174801883542</v>
      </c>
      <c r="N64" s="298" t="str">
        <f>IF(AND(K64="-",L64="-",M64="-"),"",IF(K64&gt;Bovinos_e_Comerc!$AA$5," -&gt; índice(s) fora da faixa média",IF(K64&lt;Bovinos_e_Comerc!$AA$4," -&gt; índice(s) fora da faixa média",IF(L64&gt;Bovinos_e_Comerc!$AB$5," -&gt; índice(s) fora da faixa média",IF(L64&lt;Bovinos_e_Comerc!$AB$4," -&gt; índice(s) fora da faixa média",IF(M64&gt;Bovinos_e_Comerc!$AC$5," -&gt; índice(s) fora da faixa média",IF(M64&lt;Bovinos_e_Comerc!$AC$4," -&gt; índice(s) fora da faixa média","")))))))</f>
        <v> -&gt; índice(s) fora da faixa média</v>
      </c>
      <c r="O64" s="298"/>
      <c r="P64" s="298"/>
      <c r="R64" s="7" t="str">
        <f t="shared" si="0"/>
        <v>20/21</v>
      </c>
      <c r="S64" s="2" t="str">
        <f t="shared" si="4"/>
        <v>0315</v>
      </c>
      <c r="T64" s="48">
        <v>7008</v>
      </c>
      <c r="U64" s="48"/>
      <c r="X64" s="21">
        <f>P62</f>
        <v>0</v>
      </c>
      <c r="Y64" s="50" t="s">
        <v>72</v>
      </c>
    </row>
    <row r="65" spans="1:25" ht="7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R65" s="7" t="str">
        <f t="shared" si="0"/>
        <v>20/21</v>
      </c>
      <c r="S65" s="2" t="str">
        <f t="shared" si="4"/>
        <v>0315</v>
      </c>
      <c r="T65" s="21" t="s">
        <v>73</v>
      </c>
      <c r="U65" s="21"/>
      <c r="W65" s="18"/>
      <c r="X65" s="21">
        <f>+M62</f>
        <v>0</v>
      </c>
      <c r="Y65" s="23" t="s">
        <v>74</v>
      </c>
    </row>
    <row r="66" spans="1:25" ht="7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7" t="str">
        <f t="shared" si="0"/>
        <v>20/21</v>
      </c>
      <c r="S66" s="2" t="str">
        <f t="shared" si="4"/>
        <v>0315</v>
      </c>
      <c r="T66" s="21" t="s">
        <v>75</v>
      </c>
      <c r="U66" s="21">
        <f>+H56</f>
        <v>7475</v>
      </c>
      <c r="W66" s="18"/>
      <c r="X66" s="21"/>
      <c r="Y66" s="23" t="s">
        <v>76</v>
      </c>
    </row>
    <row r="67" spans="1:25" ht="16.5" customHeight="1">
      <c r="A67" s="20" t="s">
        <v>18</v>
      </c>
      <c r="B67" s="20" t="s">
        <v>83</v>
      </c>
      <c r="C67" s="20" t="s">
        <v>84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R67" s="7" t="str">
        <f t="shared" si="0"/>
        <v>20/21</v>
      </c>
      <c r="S67" s="2" t="str">
        <f>+B67</f>
        <v>0450</v>
      </c>
      <c r="T67" s="21">
        <v>7014</v>
      </c>
      <c r="U67" s="21"/>
      <c r="V67" s="2">
        <f>J71</f>
        <v>42451.967</v>
      </c>
      <c r="Y67" s="23" t="s">
        <v>21</v>
      </c>
    </row>
    <row r="68" spans="1:25" ht="6" customHeight="1">
      <c r="A68" s="25"/>
      <c r="B68" s="26"/>
      <c r="C68" s="27"/>
      <c r="D68" s="27"/>
      <c r="E68" s="27"/>
      <c r="F68" s="27"/>
      <c r="G68" s="2"/>
      <c r="H68" s="2"/>
      <c r="I68" s="28"/>
      <c r="J68" s="2"/>
      <c r="K68" s="2"/>
      <c r="L68" s="29"/>
      <c r="M68" s="2"/>
      <c r="N68" s="2"/>
      <c r="O68" s="2"/>
      <c r="P68" s="2"/>
      <c r="R68" s="7" t="str">
        <f t="shared" si="0"/>
        <v>20/21</v>
      </c>
      <c r="S68" s="2" t="str">
        <f aca="true" t="shared" si="5" ref="S68:S81">+S67</f>
        <v>0450</v>
      </c>
      <c r="V68" s="13">
        <f>M71</f>
        <v>22927</v>
      </c>
      <c r="Y68" s="2" t="s">
        <v>22</v>
      </c>
    </row>
    <row r="69" spans="1:25" ht="11.25" customHeight="1">
      <c r="A69" s="34"/>
      <c r="B69" s="299" t="s">
        <v>26</v>
      </c>
      <c r="C69" s="307" t="s">
        <v>27</v>
      </c>
      <c r="D69" s="307"/>
      <c r="E69" s="307" t="s">
        <v>28</v>
      </c>
      <c r="F69" s="307"/>
      <c r="G69" s="34"/>
      <c r="H69" s="307" t="s">
        <v>29</v>
      </c>
      <c r="I69" s="2"/>
      <c r="J69" s="303" t="s">
        <v>30</v>
      </c>
      <c r="K69" s="308"/>
      <c r="L69" s="308"/>
      <c r="M69" s="303" t="s">
        <v>31</v>
      </c>
      <c r="N69" s="36"/>
      <c r="O69" s="2"/>
      <c r="P69" s="303" t="s">
        <v>32</v>
      </c>
      <c r="R69" s="7" t="str">
        <f t="shared" si="0"/>
        <v>20/21</v>
      </c>
      <c r="S69" s="2" t="str">
        <f t="shared" si="5"/>
        <v>0450</v>
      </c>
      <c r="T69" s="21" t="s">
        <v>33</v>
      </c>
      <c r="U69" s="21"/>
      <c r="V69" s="21">
        <f>+B71</f>
        <v>24646</v>
      </c>
      <c r="W69" s="37">
        <f>+H77</f>
        <v>240.36284117599416</v>
      </c>
      <c r="X69" s="21">
        <f>B77+C77</f>
        <v>2469.4</v>
      </c>
      <c r="Y69" s="23" t="s">
        <v>34</v>
      </c>
    </row>
    <row r="70" spans="1:25" ht="12" customHeight="1">
      <c r="A70" s="34"/>
      <c r="B70" s="299"/>
      <c r="C70" s="38" t="s">
        <v>36</v>
      </c>
      <c r="D70" s="38" t="s">
        <v>37</v>
      </c>
      <c r="E70" s="38" t="s">
        <v>36</v>
      </c>
      <c r="F70" s="38" t="s">
        <v>37</v>
      </c>
      <c r="G70" s="34"/>
      <c r="H70" s="307"/>
      <c r="I70" s="2"/>
      <c r="J70" s="303"/>
      <c r="K70" s="308"/>
      <c r="L70" s="308"/>
      <c r="M70" s="308"/>
      <c r="N70" s="36"/>
      <c r="O70" s="2"/>
      <c r="P70" s="303"/>
      <c r="R70" s="7" t="str">
        <f t="shared" si="0"/>
        <v>20/21</v>
      </c>
      <c r="S70" s="2" t="str">
        <f t="shared" si="5"/>
        <v>0450</v>
      </c>
      <c r="T70" s="21" t="s">
        <v>38</v>
      </c>
      <c r="U70" s="21"/>
      <c r="V70" s="39"/>
      <c r="W70" s="37">
        <f>H78</f>
        <v>220.68061990733344</v>
      </c>
      <c r="X70" s="21">
        <f>B78+C78</f>
        <v>2503.6</v>
      </c>
      <c r="Y70" s="23" t="s">
        <v>39</v>
      </c>
    </row>
    <row r="71" spans="1:25" ht="16.5" customHeight="1">
      <c r="A71" s="299" t="s">
        <v>40</v>
      </c>
      <c r="B71" s="304">
        <f>SUM(Reb__Est__por_faixa_etária!O9)</f>
        <v>24646</v>
      </c>
      <c r="C71" s="40">
        <f>'Leite_-_Produção'!Y12</f>
        <v>0.029822283534853528</v>
      </c>
      <c r="D71" s="40">
        <f>100%-(C71+E71+F71)</f>
        <v>0.9001777164651464</v>
      </c>
      <c r="E71" s="41"/>
      <c r="F71" s="41">
        <v>0.07</v>
      </c>
      <c r="G71" s="34" t="str">
        <f>IF(SUM(C72:F72)=0,"",IF(SUM(C71:F71)&lt;1,"&lt;100%",IF(SUM(C71:F71)&gt;1,"&gt;100%","OK")))</f>
        <v>OK</v>
      </c>
      <c r="H71" s="42">
        <f>Reb__Est__por_faixa_etária!B34</f>
        <v>9310</v>
      </c>
      <c r="I71" s="2"/>
      <c r="J71" s="43">
        <f>'Leite_-_Produção'!R12</f>
        <v>42451.967</v>
      </c>
      <c r="K71" s="44"/>
      <c r="L71" s="305"/>
      <c r="M71" s="45">
        <f>TRUNC(((C72+E72)*Bovinos_e_Comerc!$AD$8)+D72*Bovinos_e_Comerc!$AD$9,0)</f>
        <v>22927</v>
      </c>
      <c r="N71" s="46"/>
      <c r="O71" s="2"/>
      <c r="P71" s="47">
        <f>IF(OR(H71="",B71=""),"-",(D72+F72)/H71)</f>
        <v>2.568313641245972</v>
      </c>
      <c r="R71" s="7" t="str">
        <f aca="true" t="shared" si="6" ref="R71:R134">+$S$5</f>
        <v>20/21</v>
      </c>
      <c r="S71" s="2" t="str">
        <f t="shared" si="5"/>
        <v>0450</v>
      </c>
      <c r="T71" s="48">
        <v>7590</v>
      </c>
      <c r="U71" s="48"/>
      <c r="V71" s="39"/>
      <c r="W71" s="49">
        <f>+G77</f>
        <v>0</v>
      </c>
      <c r="X71" s="21">
        <f>D77</f>
        <v>0</v>
      </c>
      <c r="Y71" s="50" t="s">
        <v>41</v>
      </c>
    </row>
    <row r="72" spans="1:25" ht="16.5" customHeight="1">
      <c r="A72" s="299"/>
      <c r="B72" s="304"/>
      <c r="C72" s="53">
        <f>+C71*B71</f>
        <v>735</v>
      </c>
      <c r="D72" s="53">
        <f>+D71*B71</f>
        <v>22185.78</v>
      </c>
      <c r="E72" s="53">
        <f>+E71*B71</f>
        <v>0</v>
      </c>
      <c r="F72" s="53">
        <f>+F71*B71</f>
        <v>1725.2200000000003</v>
      </c>
      <c r="G72" s="34"/>
      <c r="H72" s="34"/>
      <c r="I72" s="2"/>
      <c r="J72" s="34"/>
      <c r="K72" s="34"/>
      <c r="L72" s="305"/>
      <c r="M72" s="34"/>
      <c r="N72" s="34"/>
      <c r="O72" s="34"/>
      <c r="P72" s="34"/>
      <c r="R72" s="7" t="str">
        <f t="shared" si="6"/>
        <v>20/21</v>
      </c>
      <c r="S72" s="2" t="str">
        <f t="shared" si="5"/>
        <v>0450</v>
      </c>
      <c r="T72" s="21" t="s">
        <v>42</v>
      </c>
      <c r="U72" s="21"/>
      <c r="V72" s="39"/>
      <c r="W72" s="39"/>
      <c r="X72" s="21">
        <f>K77</f>
        <v>1352.65</v>
      </c>
      <c r="Y72" s="23" t="s">
        <v>43</v>
      </c>
    </row>
    <row r="73" spans="1:25" ht="4.5" customHeight="1">
      <c r="A73" s="77"/>
      <c r="B73" s="78"/>
      <c r="C73" s="79"/>
      <c r="D73" s="79"/>
      <c r="E73" s="79"/>
      <c r="F73" s="79"/>
      <c r="G73" s="79"/>
      <c r="H73" s="34"/>
      <c r="I73" s="28"/>
      <c r="J73" s="34"/>
      <c r="K73" s="34"/>
      <c r="L73" s="80"/>
      <c r="M73" s="34"/>
      <c r="N73" s="34"/>
      <c r="O73" s="34"/>
      <c r="P73" s="34"/>
      <c r="R73" s="7" t="str">
        <f t="shared" si="6"/>
        <v>20/21</v>
      </c>
      <c r="S73" s="2" t="str">
        <f t="shared" si="5"/>
        <v>0450</v>
      </c>
      <c r="T73" s="21" t="s">
        <v>44</v>
      </c>
      <c r="U73" s="21"/>
      <c r="V73" s="39"/>
      <c r="W73" s="39"/>
      <c r="X73" s="21">
        <f>K78</f>
        <v>974.0500000000001</v>
      </c>
      <c r="Y73" s="23" t="s">
        <v>45</v>
      </c>
    </row>
    <row r="74" spans="1:25" ht="16.5" customHeight="1">
      <c r="A74" s="301" t="s">
        <v>46</v>
      </c>
      <c r="B74" s="306" t="s">
        <v>47</v>
      </c>
      <c r="C74" s="306"/>
      <c r="D74" s="306"/>
      <c r="E74" s="306" t="s">
        <v>48</v>
      </c>
      <c r="F74" s="306"/>
      <c r="G74" s="306"/>
      <c r="H74" s="307" t="s">
        <v>49</v>
      </c>
      <c r="I74" s="2"/>
      <c r="J74" s="301" t="s">
        <v>46</v>
      </c>
      <c r="K74" s="306" t="s">
        <v>50</v>
      </c>
      <c r="L74" s="306"/>
      <c r="M74" s="306"/>
      <c r="N74" s="299" t="s">
        <v>51</v>
      </c>
      <c r="O74" s="299"/>
      <c r="P74" s="299"/>
      <c r="R74" s="7" t="str">
        <f t="shared" si="6"/>
        <v>20/21</v>
      </c>
      <c r="S74" s="2" t="str">
        <f t="shared" si="5"/>
        <v>0450</v>
      </c>
      <c r="T74" s="21" t="s">
        <v>52</v>
      </c>
      <c r="U74" s="21"/>
      <c r="V74" s="39"/>
      <c r="W74" s="39"/>
      <c r="X74" s="21">
        <f>L77</f>
        <v>1383.8</v>
      </c>
      <c r="Y74" s="23" t="s">
        <v>53</v>
      </c>
    </row>
    <row r="75" spans="1:25" ht="16.5" customHeight="1">
      <c r="A75" s="301"/>
      <c r="B75" s="300" t="s">
        <v>54</v>
      </c>
      <c r="C75" s="300" t="s">
        <v>55</v>
      </c>
      <c r="D75" s="300" t="s">
        <v>56</v>
      </c>
      <c r="E75" s="300" t="s">
        <v>54</v>
      </c>
      <c r="F75" s="300" t="s">
        <v>55</v>
      </c>
      <c r="G75" s="300" t="s">
        <v>56</v>
      </c>
      <c r="H75" s="307"/>
      <c r="I75" s="2"/>
      <c r="J75" s="301"/>
      <c r="K75" s="302" t="s">
        <v>57</v>
      </c>
      <c r="L75" s="302" t="s">
        <v>58</v>
      </c>
      <c r="M75" s="302" t="s">
        <v>59</v>
      </c>
      <c r="N75" s="299"/>
      <c r="O75" s="299"/>
      <c r="P75" s="299"/>
      <c r="R75" s="7" t="str">
        <f t="shared" si="6"/>
        <v>20/21</v>
      </c>
      <c r="S75" s="2" t="str">
        <f t="shared" si="5"/>
        <v>0450</v>
      </c>
      <c r="T75" s="21" t="s">
        <v>60</v>
      </c>
      <c r="U75" s="21"/>
      <c r="X75" s="21">
        <f>+L78</f>
        <v>3996.8</v>
      </c>
      <c r="Y75" s="23" t="s">
        <v>61</v>
      </c>
    </row>
    <row r="76" spans="1:25" ht="18" customHeight="1">
      <c r="A76" s="301"/>
      <c r="B76" s="301"/>
      <c r="C76" s="301"/>
      <c r="D76" s="301"/>
      <c r="E76" s="301"/>
      <c r="F76" s="301"/>
      <c r="G76" s="301"/>
      <c r="H76" s="301"/>
      <c r="I76" s="2"/>
      <c r="J76" s="301"/>
      <c r="K76" s="301"/>
      <c r="L76" s="301"/>
      <c r="M76" s="301"/>
      <c r="N76" s="66" t="s">
        <v>62</v>
      </c>
      <c r="O76" s="66" t="s">
        <v>63</v>
      </c>
      <c r="P76" s="66" t="s">
        <v>64</v>
      </c>
      <c r="R76" s="7" t="str">
        <f t="shared" si="6"/>
        <v>20/21</v>
      </c>
      <c r="S76" s="2" t="str">
        <f t="shared" si="5"/>
        <v>0450</v>
      </c>
      <c r="T76" s="21" t="s">
        <v>65</v>
      </c>
      <c r="U76" s="21"/>
      <c r="X76" s="21">
        <f>+M78</f>
        <v>104.3</v>
      </c>
      <c r="Y76" s="23" t="s">
        <v>66</v>
      </c>
    </row>
    <row r="77" spans="1:25" ht="16.5" customHeight="1">
      <c r="A77" s="66" t="s">
        <v>67</v>
      </c>
      <c r="B77" s="68">
        <f>SUM('GTA_-_NR_FB (relatório para o D'!O61)</f>
        <v>853</v>
      </c>
      <c r="C77" s="67">
        <f>SUM('GTA_-_NR_FB (relatório para o D'!P61)</f>
        <v>1616.4</v>
      </c>
      <c r="D77" s="68"/>
      <c r="E77" s="68">
        <v>260</v>
      </c>
      <c r="F77" s="68">
        <v>230</v>
      </c>
      <c r="G77" s="68"/>
      <c r="H77" s="69">
        <f>IF(B77="","",((E77*B77+F77*C77)/SUM(B77:C77)))</f>
        <v>240.36284117599416</v>
      </c>
      <c r="I77" s="2"/>
      <c r="J77" s="66" t="s">
        <v>67</v>
      </c>
      <c r="K77" s="68">
        <f>SUM('GTA_-_NR_FB (relatório para o D'!O68)</f>
        <v>1352.65</v>
      </c>
      <c r="L77" s="68">
        <f>SUM('GTA_-_NR_FB (relatório para o D'!P68)</f>
        <v>1383.8</v>
      </c>
      <c r="M77" s="68">
        <f>SUM('GTA_-_NR_FB (relatório para o D'!Q68)</f>
        <v>66.4</v>
      </c>
      <c r="N77" s="68"/>
      <c r="O77" s="68"/>
      <c r="P77" s="68"/>
      <c r="R77" s="7" t="str">
        <f t="shared" si="6"/>
        <v>20/21</v>
      </c>
      <c r="S77" s="2" t="str">
        <f t="shared" si="5"/>
        <v>0450</v>
      </c>
      <c r="T77" s="48">
        <v>7006</v>
      </c>
      <c r="U77" s="48"/>
      <c r="X77" s="21">
        <f>N77</f>
        <v>0</v>
      </c>
      <c r="Y77" s="50" t="s">
        <v>68</v>
      </c>
    </row>
    <row r="78" spans="1:25" ht="16.5" customHeight="1">
      <c r="A78" s="66" t="s">
        <v>69</v>
      </c>
      <c r="B78" s="68">
        <f>SUM('GTA_-_NR_FB (relatório para o D'!O62)</f>
        <v>1337</v>
      </c>
      <c r="C78" s="67">
        <f>SUM('GTA_-_NR_FB (relatório para o D'!P62)</f>
        <v>1166.6</v>
      </c>
      <c r="D78" s="34"/>
      <c r="E78" s="68">
        <v>230</v>
      </c>
      <c r="F78" s="68">
        <v>210</v>
      </c>
      <c r="G78" s="71"/>
      <c r="H78" s="69">
        <f>IF(B78="","",((E78*B78+F78*C78)/SUM(B78:C78)))</f>
        <v>220.68061990733344</v>
      </c>
      <c r="I78" s="2"/>
      <c r="J78" s="66" t="s">
        <v>69</v>
      </c>
      <c r="K78" s="68">
        <f>SUM('GTA_-_NR_FB (relatório para o D'!O69)</f>
        <v>974.0500000000001</v>
      </c>
      <c r="L78" s="68">
        <f>SUM('GTA_-_NR_FB (relatório para o D'!P69)</f>
        <v>3996.8</v>
      </c>
      <c r="M78" s="72">
        <f>SUM('GTA_-_NR_FB (relatório para o D'!Q69)</f>
        <v>104.3</v>
      </c>
      <c r="N78" s="73"/>
      <c r="O78" s="73"/>
      <c r="P78" s="73"/>
      <c r="R78" s="7" t="str">
        <f t="shared" si="6"/>
        <v>20/21</v>
      </c>
      <c r="S78" s="2" t="str">
        <f t="shared" si="5"/>
        <v>0450</v>
      </c>
      <c r="T78" s="48">
        <v>7007</v>
      </c>
      <c r="U78" s="48"/>
      <c r="X78" s="21">
        <f>O77</f>
        <v>0</v>
      </c>
      <c r="Y78" s="50" t="s">
        <v>70</v>
      </c>
    </row>
    <row r="79" spans="1:25" ht="18" customHeight="1">
      <c r="A79" s="35" t="s">
        <v>71</v>
      </c>
      <c r="B79" s="74">
        <f>IF(B71="","",(B78+B77)/B71)</f>
        <v>0.08885823257323704</v>
      </c>
      <c r="C79" s="74">
        <f>IF(B71="","",(C78+C77)/B71)</f>
        <v>0.1129189320782277</v>
      </c>
      <c r="D79" s="74">
        <f>IF(B71="","",(D78+D77)/B71)</f>
        <v>0</v>
      </c>
      <c r="E79" s="297">
        <f>IF(B71="","",IF(B79+C79+D79&gt;Bovinos_e_Comerc!$AD$5," -&gt; índices (somados) acima da média",IF(B79+C79+D79&lt;Bovinos_e_Comerc!$AD$4," -&gt; índices (somados) abaixo da média","")))</f>
      </c>
      <c r="F79" s="297"/>
      <c r="G79" s="297"/>
      <c r="H79" s="297"/>
      <c r="I79" s="2"/>
      <c r="J79" s="35" t="s">
        <v>71</v>
      </c>
      <c r="K79" s="75">
        <f>IF(B71="","-",(K78+K77)/B71)</f>
        <v>0.09440477156536559</v>
      </c>
      <c r="L79" s="75">
        <f>IF(B71="","-",(L78+L77)/B71)</f>
        <v>0.21831534528929644</v>
      </c>
      <c r="M79" s="75">
        <f>IF(B71="","-",(M78+M77+O77+N77+P77)/B71)</f>
        <v>0.0069260731964619</v>
      </c>
      <c r="N79" s="298" t="str">
        <f>IF(AND(K79="-",L79="-",M79="-"),"",IF(K79&gt;Bovinos_e_Comerc!$AA$5," -&gt; índice(s) fora da faixa média",IF(K79&lt;Bovinos_e_Comerc!$AA$4," -&gt; índice(s) fora da faixa média",IF(L79&gt;Bovinos_e_Comerc!$AB$5," -&gt; índice(s) fora da faixa média",IF(L79&lt;Bovinos_e_Comerc!$AB$4," -&gt; índice(s) fora da faixa média",IF(M79&gt;Bovinos_e_Comerc!$AC$5," -&gt; índice(s) fora da faixa média",IF(M79&lt;Bovinos_e_Comerc!$AC$4," -&gt; índice(s) fora da faixa média","")))))))</f>
        <v> -&gt; índice(s) fora da faixa média</v>
      </c>
      <c r="O79" s="298"/>
      <c r="P79" s="298"/>
      <c r="R79" s="7" t="str">
        <f t="shared" si="6"/>
        <v>20/21</v>
      </c>
      <c r="S79" s="2" t="str">
        <f t="shared" si="5"/>
        <v>0450</v>
      </c>
      <c r="T79" s="48">
        <v>7008</v>
      </c>
      <c r="U79" s="48"/>
      <c r="X79" s="21">
        <f>P77</f>
        <v>0</v>
      </c>
      <c r="Y79" s="50" t="s">
        <v>72</v>
      </c>
    </row>
    <row r="80" spans="1:25" ht="7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R80" s="7" t="str">
        <f t="shared" si="6"/>
        <v>20/21</v>
      </c>
      <c r="S80" s="2" t="str">
        <f t="shared" si="5"/>
        <v>0450</v>
      </c>
      <c r="T80" s="21" t="s">
        <v>73</v>
      </c>
      <c r="U80" s="21"/>
      <c r="X80" s="21">
        <f>+M77</f>
        <v>66.4</v>
      </c>
      <c r="Y80" s="23" t="s">
        <v>74</v>
      </c>
    </row>
    <row r="81" spans="1:25" ht="7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R81" s="7" t="str">
        <f t="shared" si="6"/>
        <v>20/21</v>
      </c>
      <c r="S81" s="2" t="str">
        <f t="shared" si="5"/>
        <v>0450</v>
      </c>
      <c r="T81" s="21" t="s">
        <v>75</v>
      </c>
      <c r="U81" s="21">
        <f>+H71</f>
        <v>9310</v>
      </c>
      <c r="X81" s="21"/>
      <c r="Y81" s="23" t="s">
        <v>76</v>
      </c>
    </row>
    <row r="82" spans="1:25" ht="16.5" customHeight="1">
      <c r="A82" s="20" t="s">
        <v>18</v>
      </c>
      <c r="B82" s="20" t="s">
        <v>85</v>
      </c>
      <c r="C82" s="20" t="s">
        <v>86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R82" s="7" t="str">
        <f t="shared" si="6"/>
        <v>20/21</v>
      </c>
      <c r="S82" s="2" t="str">
        <f>+B82</f>
        <v>0740</v>
      </c>
      <c r="T82" s="21">
        <v>7014</v>
      </c>
      <c r="U82" s="21"/>
      <c r="V82" s="2">
        <f>J86</f>
        <v>37597.664</v>
      </c>
      <c r="Y82" s="23" t="s">
        <v>21</v>
      </c>
    </row>
    <row r="83" spans="1:25" ht="6" customHeight="1">
      <c r="A83" s="25"/>
      <c r="B83" s="26"/>
      <c r="C83" s="27"/>
      <c r="D83" s="27"/>
      <c r="E83" s="27"/>
      <c r="F83" s="27"/>
      <c r="G83" s="2"/>
      <c r="H83" s="2"/>
      <c r="I83" s="28"/>
      <c r="J83" s="2"/>
      <c r="K83" s="2"/>
      <c r="L83" s="29"/>
      <c r="M83" s="2"/>
      <c r="N83" s="2"/>
      <c r="O83" s="2"/>
      <c r="P83" s="2"/>
      <c r="R83" s="7" t="str">
        <f t="shared" si="6"/>
        <v>20/21</v>
      </c>
      <c r="S83" s="2" t="str">
        <f aca="true" t="shared" si="7" ref="S83:S96">+S82</f>
        <v>0740</v>
      </c>
      <c r="V83" s="13">
        <f>M86</f>
        <v>20611</v>
      </c>
      <c r="Y83" s="2" t="s">
        <v>22</v>
      </c>
    </row>
    <row r="84" spans="1:25" ht="11.25" customHeight="1">
      <c r="A84" s="34"/>
      <c r="B84" s="299" t="s">
        <v>26</v>
      </c>
      <c r="C84" s="307" t="s">
        <v>27</v>
      </c>
      <c r="D84" s="307"/>
      <c r="E84" s="307" t="s">
        <v>28</v>
      </c>
      <c r="F84" s="307"/>
      <c r="G84" s="34"/>
      <c r="H84" s="307" t="s">
        <v>29</v>
      </c>
      <c r="I84" s="2"/>
      <c r="J84" s="303" t="s">
        <v>30</v>
      </c>
      <c r="K84" s="308"/>
      <c r="L84" s="308"/>
      <c r="M84" s="303" t="s">
        <v>31</v>
      </c>
      <c r="N84" s="36"/>
      <c r="O84" s="2"/>
      <c r="P84" s="303" t="s">
        <v>32</v>
      </c>
      <c r="R84" s="7" t="str">
        <f t="shared" si="6"/>
        <v>20/21</v>
      </c>
      <c r="S84" s="2" t="str">
        <f t="shared" si="7"/>
        <v>0740</v>
      </c>
      <c r="T84" s="21" t="s">
        <v>33</v>
      </c>
      <c r="U84" s="21"/>
      <c r="V84" s="21">
        <f>+B86</f>
        <v>21328</v>
      </c>
      <c r="W84" s="37">
        <f>+H92</f>
        <v>252.48499823508647</v>
      </c>
      <c r="X84" s="21">
        <f>B92+C92</f>
        <v>3399.6000000000004</v>
      </c>
      <c r="Y84" s="23" t="s">
        <v>34</v>
      </c>
    </row>
    <row r="85" spans="1:25" ht="12" customHeight="1">
      <c r="A85" s="34"/>
      <c r="B85" s="299"/>
      <c r="C85" s="38" t="s">
        <v>36</v>
      </c>
      <c r="D85" s="38" t="s">
        <v>37</v>
      </c>
      <c r="E85" s="38" t="s">
        <v>36</v>
      </c>
      <c r="F85" s="38" t="s">
        <v>37</v>
      </c>
      <c r="G85" s="34"/>
      <c r="H85" s="307"/>
      <c r="I85" s="2"/>
      <c r="J85" s="303"/>
      <c r="K85" s="308"/>
      <c r="L85" s="308"/>
      <c r="M85" s="308"/>
      <c r="N85" s="36"/>
      <c r="O85" s="2"/>
      <c r="P85" s="303"/>
      <c r="R85" s="7" t="str">
        <f t="shared" si="6"/>
        <v>20/21</v>
      </c>
      <c r="S85" s="2" t="str">
        <f t="shared" si="7"/>
        <v>0740</v>
      </c>
      <c r="T85" s="21" t="s">
        <v>38</v>
      </c>
      <c r="U85" s="21"/>
      <c r="V85" s="76"/>
      <c r="W85" s="37">
        <f>H93</f>
        <v>221.0494220442341</v>
      </c>
      <c r="X85" s="21">
        <f>B93+C93</f>
        <v>2197.4</v>
      </c>
      <c r="Y85" s="23" t="s">
        <v>39</v>
      </c>
    </row>
    <row r="86" spans="1:25" ht="16.5" customHeight="1">
      <c r="A86" s="299" t="s">
        <v>40</v>
      </c>
      <c r="B86" s="304">
        <f>SUM(Reb__Est__por_faixa_etária!O10)</f>
        <v>21328</v>
      </c>
      <c r="C86" s="40">
        <f>'Leite_-_Produção'!Y13</f>
        <v>0.049699924981245314</v>
      </c>
      <c r="D86" s="40">
        <f>100%-(C86+E86+F86)</f>
        <v>0.8603000750187547</v>
      </c>
      <c r="E86" s="41"/>
      <c r="F86" s="41">
        <v>0.09</v>
      </c>
      <c r="G86" s="34" t="str">
        <f>IF(SUM(C87:F87)=0,"",IF(SUM(C86:F86)&lt;1,"&lt;100%",IF(SUM(C86:F86)&gt;1,"&gt;100%","OK")))</f>
        <v>OK</v>
      </c>
      <c r="H86" s="42">
        <f>Reb__Est__por_faixa_etária!B35</f>
        <v>7220</v>
      </c>
      <c r="I86" s="2"/>
      <c r="J86" s="43">
        <f>'Leite_-_Produção'!R13</f>
        <v>37597.664</v>
      </c>
      <c r="K86" s="44"/>
      <c r="L86" s="305"/>
      <c r="M86" s="45">
        <f>TRUNC(((C87+E87)*Bovinos_e_Comerc!$AD$8)+D87*Bovinos_e_Comerc!$AD$9,0)</f>
        <v>20611</v>
      </c>
      <c r="N86" s="46"/>
      <c r="O86" s="2"/>
      <c r="P86" s="47">
        <f>IF(OR(H86="",B86=""),"-",(D87+F87)/H86)</f>
        <v>2.807202216066482</v>
      </c>
      <c r="R86" s="7" t="str">
        <f t="shared" si="6"/>
        <v>20/21</v>
      </c>
      <c r="S86" s="2" t="str">
        <f t="shared" si="7"/>
        <v>0740</v>
      </c>
      <c r="T86" s="48">
        <v>7590</v>
      </c>
      <c r="U86" s="48"/>
      <c r="V86" s="76"/>
      <c r="W86" s="49">
        <f>+G92</f>
        <v>0</v>
      </c>
      <c r="X86" s="21">
        <f>D92</f>
        <v>0</v>
      </c>
      <c r="Y86" s="50" t="s">
        <v>41</v>
      </c>
    </row>
    <row r="87" spans="1:25" ht="16.5" customHeight="1">
      <c r="A87" s="299"/>
      <c r="B87" s="304"/>
      <c r="C87" s="53">
        <f>+C86*B86</f>
        <v>1060</v>
      </c>
      <c r="D87" s="53">
        <f>+D86*B86</f>
        <v>18348.48</v>
      </c>
      <c r="E87" s="53">
        <f>+E86*B86</f>
        <v>0</v>
      </c>
      <c r="F87" s="53">
        <f>+F86*B86</f>
        <v>1919.52</v>
      </c>
      <c r="G87" s="34"/>
      <c r="H87" s="34"/>
      <c r="I87" s="2"/>
      <c r="J87" s="34"/>
      <c r="K87" s="34"/>
      <c r="L87" s="305"/>
      <c r="M87" s="34"/>
      <c r="N87" s="34"/>
      <c r="O87" s="34"/>
      <c r="P87" s="34"/>
      <c r="R87" s="7" t="str">
        <f t="shared" si="6"/>
        <v>20/21</v>
      </c>
      <c r="S87" s="2" t="str">
        <f t="shared" si="7"/>
        <v>0740</v>
      </c>
      <c r="T87" s="21" t="s">
        <v>42</v>
      </c>
      <c r="U87" s="21"/>
      <c r="V87" s="76"/>
      <c r="W87" s="76"/>
      <c r="X87" s="21">
        <f>K92</f>
        <v>898.38</v>
      </c>
      <c r="Y87" s="23" t="s">
        <v>43</v>
      </c>
    </row>
    <row r="88" spans="1:25" ht="4.5" customHeight="1">
      <c r="A88" s="77"/>
      <c r="B88" s="78"/>
      <c r="C88" s="79"/>
      <c r="D88" s="79"/>
      <c r="E88" s="79"/>
      <c r="F88" s="79"/>
      <c r="G88" s="79"/>
      <c r="H88" s="34"/>
      <c r="I88" s="28"/>
      <c r="J88" s="34"/>
      <c r="K88" s="34"/>
      <c r="L88" s="80"/>
      <c r="M88" s="34"/>
      <c r="N88" s="34"/>
      <c r="O88" s="34"/>
      <c r="P88" s="34"/>
      <c r="R88" s="7" t="str">
        <f t="shared" si="6"/>
        <v>20/21</v>
      </c>
      <c r="S88" s="2" t="str">
        <f t="shared" si="7"/>
        <v>0740</v>
      </c>
      <c r="T88" s="21" t="s">
        <v>44</v>
      </c>
      <c r="U88" s="21"/>
      <c r="V88" s="76"/>
      <c r="W88" s="76"/>
      <c r="X88" s="21">
        <f>K93</f>
        <v>669.06</v>
      </c>
      <c r="Y88" s="23" t="s">
        <v>45</v>
      </c>
    </row>
    <row r="89" spans="1:25" ht="16.5" customHeight="1">
      <c r="A89" s="301" t="s">
        <v>46</v>
      </c>
      <c r="B89" s="306" t="s">
        <v>47</v>
      </c>
      <c r="C89" s="306"/>
      <c r="D89" s="306"/>
      <c r="E89" s="306" t="s">
        <v>48</v>
      </c>
      <c r="F89" s="306"/>
      <c r="G89" s="306"/>
      <c r="H89" s="307" t="s">
        <v>49</v>
      </c>
      <c r="I89" s="2"/>
      <c r="J89" s="301" t="s">
        <v>46</v>
      </c>
      <c r="K89" s="306" t="s">
        <v>50</v>
      </c>
      <c r="L89" s="306"/>
      <c r="M89" s="306"/>
      <c r="N89" s="299" t="s">
        <v>51</v>
      </c>
      <c r="O89" s="299"/>
      <c r="P89" s="299"/>
      <c r="R89" s="7" t="str">
        <f t="shared" si="6"/>
        <v>20/21</v>
      </c>
      <c r="S89" s="2" t="str">
        <f t="shared" si="7"/>
        <v>0740</v>
      </c>
      <c r="T89" s="21" t="s">
        <v>52</v>
      </c>
      <c r="U89" s="21"/>
      <c r="V89" s="76"/>
      <c r="W89" s="76"/>
      <c r="X89" s="21">
        <f>L92</f>
        <v>782.19</v>
      </c>
      <c r="Y89" s="23" t="s">
        <v>53</v>
      </c>
    </row>
    <row r="90" spans="1:25" ht="16.5" customHeight="1">
      <c r="A90" s="301"/>
      <c r="B90" s="300" t="s">
        <v>54</v>
      </c>
      <c r="C90" s="300" t="s">
        <v>55</v>
      </c>
      <c r="D90" s="300" t="s">
        <v>56</v>
      </c>
      <c r="E90" s="300" t="s">
        <v>54</v>
      </c>
      <c r="F90" s="300" t="s">
        <v>55</v>
      </c>
      <c r="G90" s="300" t="s">
        <v>56</v>
      </c>
      <c r="H90" s="307"/>
      <c r="I90" s="2"/>
      <c r="J90" s="301"/>
      <c r="K90" s="302" t="s">
        <v>57</v>
      </c>
      <c r="L90" s="302" t="s">
        <v>58</v>
      </c>
      <c r="M90" s="302" t="s">
        <v>59</v>
      </c>
      <c r="N90" s="299"/>
      <c r="O90" s="299"/>
      <c r="P90" s="299"/>
      <c r="R90" s="7" t="str">
        <f t="shared" si="6"/>
        <v>20/21</v>
      </c>
      <c r="S90" s="2" t="str">
        <f t="shared" si="7"/>
        <v>0740</v>
      </c>
      <c r="T90" s="21" t="s">
        <v>60</v>
      </c>
      <c r="U90" s="21"/>
      <c r="X90" s="21">
        <f>+L93</f>
        <v>2212.8</v>
      </c>
      <c r="Y90" s="23" t="s">
        <v>61</v>
      </c>
    </row>
    <row r="91" spans="1:25" ht="18" customHeight="1">
      <c r="A91" s="301"/>
      <c r="B91" s="301"/>
      <c r="C91" s="301"/>
      <c r="D91" s="301"/>
      <c r="E91" s="301"/>
      <c r="F91" s="301"/>
      <c r="G91" s="301"/>
      <c r="H91" s="301"/>
      <c r="I91" s="2"/>
      <c r="J91" s="301"/>
      <c r="K91" s="301"/>
      <c r="L91" s="301"/>
      <c r="M91" s="301"/>
      <c r="N91" s="66" t="s">
        <v>62</v>
      </c>
      <c r="O91" s="66" t="s">
        <v>63</v>
      </c>
      <c r="P91" s="66" t="s">
        <v>64</v>
      </c>
      <c r="R91" s="7" t="str">
        <f t="shared" si="6"/>
        <v>20/21</v>
      </c>
      <c r="S91" s="2" t="str">
        <f t="shared" si="7"/>
        <v>0740</v>
      </c>
      <c r="T91" s="21" t="s">
        <v>65</v>
      </c>
      <c r="U91" s="21"/>
      <c r="X91" s="21">
        <f>+M93</f>
        <v>492.79999999999995</v>
      </c>
      <c r="Y91" s="23" t="s">
        <v>66</v>
      </c>
    </row>
    <row r="92" spans="1:25" ht="16.5" customHeight="1">
      <c r="A92" s="66" t="s">
        <v>67</v>
      </c>
      <c r="B92" s="68">
        <f>SUM('GTA_-_NR_FB (relatório para o D'!O75)</f>
        <v>2548</v>
      </c>
      <c r="C92" s="68">
        <f>SUM('GTA_-_NR_FB (relatório para o D'!P75)</f>
        <v>851.6000000000001</v>
      </c>
      <c r="D92" s="68"/>
      <c r="E92" s="68">
        <v>260</v>
      </c>
      <c r="F92" s="68">
        <v>230</v>
      </c>
      <c r="G92" s="68"/>
      <c r="H92" s="69">
        <f>IF(B92="","",((E92*B92+F92*C92)/SUM(B92:C92)))</f>
        <v>252.48499823508647</v>
      </c>
      <c r="I92" s="2"/>
      <c r="J92" s="66" t="s">
        <v>67</v>
      </c>
      <c r="K92" s="68">
        <f>SUM('GTA_-_NR_FB (relatório para o D'!O82)</f>
        <v>898.38</v>
      </c>
      <c r="L92" s="68">
        <f>SUM('GTA_-_NR_FB (relatório para o D'!P82)</f>
        <v>782.19</v>
      </c>
      <c r="M92" s="68">
        <f>SUM('GTA_-_NR_FB (relatório para o D'!Q82)</f>
        <v>2</v>
      </c>
      <c r="N92" s="68"/>
      <c r="O92" s="68"/>
      <c r="P92" s="68"/>
      <c r="R92" s="7" t="str">
        <f t="shared" si="6"/>
        <v>20/21</v>
      </c>
      <c r="S92" s="2" t="str">
        <f t="shared" si="7"/>
        <v>0740</v>
      </c>
      <c r="T92" s="48">
        <v>7006</v>
      </c>
      <c r="U92" s="48"/>
      <c r="X92" s="21">
        <f>N92</f>
        <v>0</v>
      </c>
      <c r="Y92" s="50" t="s">
        <v>68</v>
      </c>
    </row>
    <row r="93" spans="1:25" ht="16.5" customHeight="1">
      <c r="A93" s="66" t="s">
        <v>69</v>
      </c>
      <c r="B93" s="68">
        <f>SUM('GTA_-_NR_FB (relatório para o D'!O76)</f>
        <v>1214</v>
      </c>
      <c r="C93" s="68">
        <f>SUM('GTA_-_NR_FB (relatório para o D'!P76)</f>
        <v>983.4000000000001</v>
      </c>
      <c r="D93" s="34"/>
      <c r="E93" s="68">
        <v>230</v>
      </c>
      <c r="F93" s="68">
        <v>210</v>
      </c>
      <c r="G93" s="71"/>
      <c r="H93" s="69">
        <f>IF(B93="","",((E93*B93+F93*C93)/SUM(B93:C93)))</f>
        <v>221.0494220442341</v>
      </c>
      <c r="I93" s="2"/>
      <c r="J93" s="66" t="s">
        <v>69</v>
      </c>
      <c r="K93" s="68">
        <f>SUM('GTA_-_NR_FB (relatório para o D'!O83)</f>
        <v>669.06</v>
      </c>
      <c r="L93" s="68">
        <f>SUM('GTA_-_NR_FB (relatório para o D'!P83)</f>
        <v>2212.8</v>
      </c>
      <c r="M93" s="72">
        <f>SUM('GTA_-_NR_FB (relatório para o D'!Q83)</f>
        <v>492.79999999999995</v>
      </c>
      <c r="N93" s="73"/>
      <c r="O93" s="73"/>
      <c r="P93" s="73"/>
      <c r="R93" s="7" t="str">
        <f t="shared" si="6"/>
        <v>20/21</v>
      </c>
      <c r="S93" s="2" t="str">
        <f t="shared" si="7"/>
        <v>0740</v>
      </c>
      <c r="T93" s="48">
        <v>7007</v>
      </c>
      <c r="U93" s="48"/>
      <c r="X93" s="21">
        <f>O92</f>
        <v>0</v>
      </c>
      <c r="Y93" s="50" t="s">
        <v>70</v>
      </c>
    </row>
    <row r="94" spans="1:25" ht="18" customHeight="1">
      <c r="A94" s="35" t="s">
        <v>71</v>
      </c>
      <c r="B94" s="74">
        <f>IF(B86="","",(B93+B92)/B86)</f>
        <v>0.17638784696174042</v>
      </c>
      <c r="C94" s="74">
        <f>IF(B86="","",(C93+C92)/B86)</f>
        <v>0.0860371342835709</v>
      </c>
      <c r="D94" s="74">
        <f>IF(B86="","",(D93+D92)/B86)</f>
        <v>0</v>
      </c>
      <c r="E94" s="297">
        <f>IF(B86="","",IF(B94+C94+D94&gt;Bovinos_e_Comerc!$AD$5," -&gt; índices (somados) acima da média",IF(B94+C94+D94&lt;Bovinos_e_Comerc!$AD$4," -&gt; índices (somados) abaixo da média","")))</f>
      </c>
      <c r="F94" s="297"/>
      <c r="G94" s="297"/>
      <c r="H94" s="297"/>
      <c r="I94" s="2"/>
      <c r="J94" s="35" t="s">
        <v>71</v>
      </c>
      <c r="K94" s="75">
        <f>IF(B86="","-",(K93+K92)/B86)</f>
        <v>0.0734921230307577</v>
      </c>
      <c r="L94" s="75">
        <f>IF(B86="","-",(L93+L92)/B86)</f>
        <v>0.14042526256564142</v>
      </c>
      <c r="M94" s="75">
        <f>IF(B86="","-",(M93+M92+O92+N92+P92)/B86)</f>
        <v>0.023199549887471867</v>
      </c>
      <c r="N94" s="298">
        <f>IF(AND(K94="-",L94="-",M94="-"),"",IF(K94&gt;Bovinos_e_Comerc!$AA$5," -&gt; índice(s) fora da faixa média",IF(K94&lt;Bovinos_e_Comerc!$AA$4," -&gt; índice(s) fora da faixa média",IF(L94&gt;Bovinos_e_Comerc!$AB$5," -&gt; índice(s) fora da faixa média",IF(L94&lt;Bovinos_e_Comerc!$AB$4," -&gt; índice(s) fora da faixa média",IF(M94&gt;Bovinos_e_Comerc!$AC$5," -&gt; índice(s) fora da faixa média",IF(M94&lt;Bovinos_e_Comerc!$AC$4," -&gt; índice(s) fora da faixa média","")))))))</f>
      </c>
      <c r="O94" s="298"/>
      <c r="P94" s="298"/>
      <c r="R94" s="7" t="str">
        <f t="shared" si="6"/>
        <v>20/21</v>
      </c>
      <c r="S94" s="2" t="str">
        <f t="shared" si="7"/>
        <v>0740</v>
      </c>
      <c r="T94" s="48">
        <v>7008</v>
      </c>
      <c r="U94" s="48"/>
      <c r="X94" s="21">
        <f>P92</f>
        <v>0</v>
      </c>
      <c r="Y94" s="50" t="s">
        <v>72</v>
      </c>
    </row>
    <row r="95" spans="1:25" ht="7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R95" s="7" t="str">
        <f t="shared" si="6"/>
        <v>20/21</v>
      </c>
      <c r="S95" s="2" t="str">
        <f t="shared" si="7"/>
        <v>0740</v>
      </c>
      <c r="T95" s="21" t="s">
        <v>73</v>
      </c>
      <c r="U95" s="21"/>
      <c r="W95" s="18"/>
      <c r="X95" s="21">
        <f>+M92</f>
        <v>2</v>
      </c>
      <c r="Y95" s="23" t="s">
        <v>74</v>
      </c>
    </row>
    <row r="96" spans="1:25" ht="7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R96" s="7" t="str">
        <f t="shared" si="6"/>
        <v>20/21</v>
      </c>
      <c r="S96" s="2" t="str">
        <f t="shared" si="7"/>
        <v>0740</v>
      </c>
      <c r="T96" s="21" t="s">
        <v>75</v>
      </c>
      <c r="U96" s="21">
        <f>+H86</f>
        <v>7220</v>
      </c>
      <c r="W96" s="18"/>
      <c r="X96" s="21"/>
      <c r="Y96" s="23" t="s">
        <v>76</v>
      </c>
    </row>
    <row r="97" spans="1:25" ht="16.5" customHeight="1">
      <c r="A97" s="20" t="s">
        <v>18</v>
      </c>
      <c r="B97" s="20" t="s">
        <v>87</v>
      </c>
      <c r="C97" s="20" t="s">
        <v>88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R97" s="7" t="str">
        <f t="shared" si="6"/>
        <v>20/21</v>
      </c>
      <c r="S97" s="2" t="str">
        <f>+B97</f>
        <v>0785</v>
      </c>
      <c r="T97" s="21">
        <v>7014</v>
      </c>
      <c r="U97" s="21"/>
      <c r="V97" s="2">
        <f>J101</f>
        <v>20767.985</v>
      </c>
      <c r="Y97" s="23" t="s">
        <v>21</v>
      </c>
    </row>
    <row r="98" spans="1:25" ht="6" customHeight="1">
      <c r="A98" s="25"/>
      <c r="B98" s="26"/>
      <c r="C98" s="27"/>
      <c r="D98" s="27"/>
      <c r="E98" s="27"/>
      <c r="F98" s="27"/>
      <c r="G98" s="2"/>
      <c r="H98" s="2"/>
      <c r="I98" s="28"/>
      <c r="J98" s="2"/>
      <c r="K98" s="2"/>
      <c r="L98" s="29"/>
      <c r="M98" s="2"/>
      <c r="N98" s="2"/>
      <c r="O98" s="2"/>
      <c r="P98" s="2"/>
      <c r="R98" s="7" t="str">
        <f t="shared" si="6"/>
        <v>20/21</v>
      </c>
      <c r="S98" s="2" t="str">
        <f aca="true" t="shared" si="8" ref="S98:S111">+S97</f>
        <v>0785</v>
      </c>
      <c r="V98" s="13">
        <f>M101</f>
        <v>12497</v>
      </c>
      <c r="Y98" s="2" t="s">
        <v>22</v>
      </c>
    </row>
    <row r="99" spans="1:25" ht="11.25" customHeight="1">
      <c r="A99" s="34"/>
      <c r="B99" s="299" t="s">
        <v>26</v>
      </c>
      <c r="C99" s="307" t="s">
        <v>27</v>
      </c>
      <c r="D99" s="307"/>
      <c r="E99" s="307" t="s">
        <v>28</v>
      </c>
      <c r="F99" s="307"/>
      <c r="G99" s="34"/>
      <c r="H99" s="307" t="s">
        <v>29</v>
      </c>
      <c r="I99" s="2"/>
      <c r="J99" s="303" t="s">
        <v>30</v>
      </c>
      <c r="K99" s="308"/>
      <c r="L99" s="308"/>
      <c r="M99" s="303" t="s">
        <v>31</v>
      </c>
      <c r="N99" s="36"/>
      <c r="O99" s="2"/>
      <c r="P99" s="303" t="s">
        <v>32</v>
      </c>
      <c r="R99" s="7" t="str">
        <f t="shared" si="6"/>
        <v>20/21</v>
      </c>
      <c r="S99" s="2" t="str">
        <f t="shared" si="8"/>
        <v>0785</v>
      </c>
      <c r="T99" s="21" t="s">
        <v>33</v>
      </c>
      <c r="U99" s="21"/>
      <c r="V99" s="21">
        <f>+B101</f>
        <v>14390</v>
      </c>
      <c r="W99" s="37">
        <f>+H107</f>
        <v>240.9606824925816</v>
      </c>
      <c r="X99" s="21">
        <f>B107+C107</f>
        <v>1078.4</v>
      </c>
      <c r="Y99" s="23" t="s">
        <v>34</v>
      </c>
    </row>
    <row r="100" spans="1:25" ht="12" customHeight="1">
      <c r="A100" s="34"/>
      <c r="B100" s="299"/>
      <c r="C100" s="38" t="s">
        <v>36</v>
      </c>
      <c r="D100" s="38" t="s">
        <v>37</v>
      </c>
      <c r="E100" s="38" t="s">
        <v>36</v>
      </c>
      <c r="F100" s="38" t="s">
        <v>37</v>
      </c>
      <c r="G100" s="34"/>
      <c r="H100" s="307"/>
      <c r="I100" s="2"/>
      <c r="J100" s="303"/>
      <c r="K100" s="308"/>
      <c r="L100" s="308"/>
      <c r="M100" s="308"/>
      <c r="N100" s="36"/>
      <c r="O100" s="2"/>
      <c r="P100" s="303"/>
      <c r="R100" s="7" t="str">
        <f t="shared" si="6"/>
        <v>20/21</v>
      </c>
      <c r="S100" s="2" t="str">
        <f t="shared" si="8"/>
        <v>0785</v>
      </c>
      <c r="T100" s="21" t="s">
        <v>38</v>
      </c>
      <c r="U100" s="21"/>
      <c r="V100" s="39"/>
      <c r="W100" s="37">
        <f>H108</f>
        <v>220.05253104106973</v>
      </c>
      <c r="X100" s="21">
        <f>B108+C108</f>
        <v>837.6</v>
      </c>
      <c r="Y100" s="23" t="s">
        <v>39</v>
      </c>
    </row>
    <row r="101" spans="1:25" ht="16.5" customHeight="1">
      <c r="A101" s="299" t="s">
        <v>40</v>
      </c>
      <c r="B101" s="304">
        <f>SUM(Reb__Est__por_faixa_etária!O11)</f>
        <v>14390</v>
      </c>
      <c r="C101" s="40">
        <f>'Leite_-_Produção'!Y14</f>
        <v>0.0472550382209868</v>
      </c>
      <c r="D101" s="40">
        <f>100%-(C101+E101+F101)</f>
        <v>0.7627449617790132</v>
      </c>
      <c r="E101" s="41"/>
      <c r="F101" s="41">
        <v>0.19</v>
      </c>
      <c r="G101" s="34" t="str">
        <f>IF(SUM(C102:F102)=0,"",IF(SUM(C101:F101)&lt;1,"&lt;100%",IF(SUM(C101:F101)&gt;1,"&gt;100%","OK")))</f>
        <v>OK</v>
      </c>
      <c r="H101" s="42">
        <f>Reb__Est__por_faixa_etária!B36</f>
        <v>5540</v>
      </c>
      <c r="I101" s="2"/>
      <c r="J101" s="43">
        <f>'Leite_-_Produção'!R14</f>
        <v>20767.985</v>
      </c>
      <c r="K101" s="44"/>
      <c r="L101" s="305"/>
      <c r="M101" s="45">
        <f>TRUNC(((C102+E102)*Bovinos_e_Comerc!$AD$8)+D102*Bovinos_e_Comerc!$AD$9,0)</f>
        <v>12497</v>
      </c>
      <c r="N101" s="46"/>
      <c r="O101" s="2"/>
      <c r="P101" s="47">
        <f>IF(OR(H101="",B101=""),"-",(D102+F102)/H101)</f>
        <v>2.4747292418772564</v>
      </c>
      <c r="R101" s="7" t="str">
        <f t="shared" si="6"/>
        <v>20/21</v>
      </c>
      <c r="S101" s="2" t="str">
        <f t="shared" si="8"/>
        <v>0785</v>
      </c>
      <c r="T101" s="48">
        <v>7590</v>
      </c>
      <c r="U101" s="48"/>
      <c r="V101" s="39"/>
      <c r="W101" s="49">
        <f>+G107</f>
        <v>0</v>
      </c>
      <c r="X101" s="21">
        <f>D107</f>
        <v>0</v>
      </c>
      <c r="Y101" s="50" t="s">
        <v>41</v>
      </c>
    </row>
    <row r="102" spans="1:25" ht="16.5" customHeight="1">
      <c r="A102" s="299"/>
      <c r="B102" s="304"/>
      <c r="C102" s="53">
        <f>+C101*B101</f>
        <v>680</v>
      </c>
      <c r="D102" s="53">
        <f>+D101*B101</f>
        <v>10975.9</v>
      </c>
      <c r="E102" s="53">
        <f>+E101*B101</f>
        <v>0</v>
      </c>
      <c r="F102" s="53">
        <f>+F101*B101</f>
        <v>2734.1</v>
      </c>
      <c r="G102" s="34"/>
      <c r="H102" s="34"/>
      <c r="I102" s="2"/>
      <c r="J102" s="34"/>
      <c r="K102" s="34"/>
      <c r="L102" s="305"/>
      <c r="M102" s="34"/>
      <c r="N102" s="34"/>
      <c r="O102" s="34"/>
      <c r="P102" s="34"/>
      <c r="R102" s="7" t="str">
        <f t="shared" si="6"/>
        <v>20/21</v>
      </c>
      <c r="S102" s="2" t="str">
        <f t="shared" si="8"/>
        <v>0785</v>
      </c>
      <c r="T102" s="21" t="s">
        <v>42</v>
      </c>
      <c r="U102" s="21"/>
      <c r="V102" s="39"/>
      <c r="W102" s="39"/>
      <c r="X102" s="21">
        <f>K107</f>
        <v>934.4000000000001</v>
      </c>
      <c r="Y102" s="23" t="s">
        <v>43</v>
      </c>
    </row>
    <row r="103" spans="1:25" ht="4.5" customHeight="1">
      <c r="A103" s="77"/>
      <c r="B103" s="78"/>
      <c r="C103" s="79"/>
      <c r="D103" s="79"/>
      <c r="E103" s="79"/>
      <c r="F103" s="79"/>
      <c r="G103" s="79"/>
      <c r="H103" s="34"/>
      <c r="I103" s="28"/>
      <c r="J103" s="34"/>
      <c r="K103" s="34"/>
      <c r="L103" s="80"/>
      <c r="M103" s="34"/>
      <c r="N103" s="34"/>
      <c r="O103" s="34"/>
      <c r="P103" s="34"/>
      <c r="R103" s="7" t="str">
        <f t="shared" si="6"/>
        <v>20/21</v>
      </c>
      <c r="S103" s="2" t="str">
        <f t="shared" si="8"/>
        <v>0785</v>
      </c>
      <c r="T103" s="21" t="s">
        <v>44</v>
      </c>
      <c r="U103" s="21"/>
      <c r="V103" s="39"/>
      <c r="W103" s="39"/>
      <c r="X103" s="21">
        <f>K108</f>
        <v>496.26000000000005</v>
      </c>
      <c r="Y103" s="23" t="s">
        <v>45</v>
      </c>
    </row>
    <row r="104" spans="1:25" ht="16.5" customHeight="1">
      <c r="A104" s="301" t="s">
        <v>46</v>
      </c>
      <c r="B104" s="306" t="s">
        <v>47</v>
      </c>
      <c r="C104" s="306"/>
      <c r="D104" s="306"/>
      <c r="E104" s="306" t="s">
        <v>48</v>
      </c>
      <c r="F104" s="306"/>
      <c r="G104" s="306"/>
      <c r="H104" s="307" t="s">
        <v>49</v>
      </c>
      <c r="I104" s="2"/>
      <c r="J104" s="301" t="s">
        <v>46</v>
      </c>
      <c r="K104" s="306" t="s">
        <v>50</v>
      </c>
      <c r="L104" s="306"/>
      <c r="M104" s="306"/>
      <c r="N104" s="299" t="s">
        <v>51</v>
      </c>
      <c r="O104" s="299"/>
      <c r="P104" s="299"/>
      <c r="R104" s="7" t="str">
        <f t="shared" si="6"/>
        <v>20/21</v>
      </c>
      <c r="S104" s="2" t="str">
        <f t="shared" si="8"/>
        <v>0785</v>
      </c>
      <c r="T104" s="21" t="s">
        <v>52</v>
      </c>
      <c r="U104" s="21"/>
      <c r="V104" s="39"/>
      <c r="W104" s="39"/>
      <c r="X104" s="21">
        <f>L107</f>
        <v>551.15</v>
      </c>
      <c r="Y104" s="23" t="s">
        <v>53</v>
      </c>
    </row>
    <row r="105" spans="1:25" ht="16.5" customHeight="1">
      <c r="A105" s="301"/>
      <c r="B105" s="300" t="s">
        <v>54</v>
      </c>
      <c r="C105" s="300" t="s">
        <v>55</v>
      </c>
      <c r="D105" s="300" t="s">
        <v>56</v>
      </c>
      <c r="E105" s="300" t="s">
        <v>54</v>
      </c>
      <c r="F105" s="300" t="s">
        <v>55</v>
      </c>
      <c r="G105" s="300" t="s">
        <v>56</v>
      </c>
      <c r="H105" s="307"/>
      <c r="I105" s="2"/>
      <c r="J105" s="301"/>
      <c r="K105" s="302" t="s">
        <v>57</v>
      </c>
      <c r="L105" s="302" t="s">
        <v>58</v>
      </c>
      <c r="M105" s="302" t="s">
        <v>59</v>
      </c>
      <c r="N105" s="299"/>
      <c r="O105" s="299"/>
      <c r="P105" s="299"/>
      <c r="R105" s="7" t="str">
        <f t="shared" si="6"/>
        <v>20/21</v>
      </c>
      <c r="S105" s="2" t="str">
        <f t="shared" si="8"/>
        <v>0785</v>
      </c>
      <c r="T105" s="21" t="s">
        <v>60</v>
      </c>
      <c r="U105" s="21"/>
      <c r="X105" s="21">
        <f>+L108</f>
        <v>2021.6000000000001</v>
      </c>
      <c r="Y105" s="23" t="s">
        <v>61</v>
      </c>
    </row>
    <row r="106" spans="1:25" ht="18" customHeight="1">
      <c r="A106" s="301"/>
      <c r="B106" s="301"/>
      <c r="C106" s="301"/>
      <c r="D106" s="301"/>
      <c r="E106" s="301"/>
      <c r="F106" s="301"/>
      <c r="G106" s="301"/>
      <c r="H106" s="301"/>
      <c r="I106" s="2"/>
      <c r="J106" s="301"/>
      <c r="K106" s="301"/>
      <c r="L106" s="301"/>
      <c r="M106" s="301"/>
      <c r="N106" s="66" t="s">
        <v>62</v>
      </c>
      <c r="O106" s="66" t="s">
        <v>63</v>
      </c>
      <c r="P106" s="66" t="s">
        <v>64</v>
      </c>
      <c r="R106" s="7" t="str">
        <f t="shared" si="6"/>
        <v>20/21</v>
      </c>
      <c r="S106" s="2" t="str">
        <f t="shared" si="8"/>
        <v>0785</v>
      </c>
      <c r="T106" s="21" t="s">
        <v>65</v>
      </c>
      <c r="U106" s="21"/>
      <c r="X106" s="21">
        <f>+M108</f>
        <v>121.8</v>
      </c>
      <c r="Y106" s="23" t="s">
        <v>66</v>
      </c>
    </row>
    <row r="107" spans="1:25" ht="16.5" customHeight="1">
      <c r="A107" s="66" t="s">
        <v>67</v>
      </c>
      <c r="B107" s="68">
        <f>SUM('GTA_-_NR_FB (relatório para o D'!O89)</f>
        <v>394</v>
      </c>
      <c r="C107" s="68">
        <f>SUM('GTA_-_NR_FB (relatório para o D'!P89)</f>
        <v>684.4000000000001</v>
      </c>
      <c r="D107" s="68"/>
      <c r="E107" s="68">
        <v>260</v>
      </c>
      <c r="F107" s="68">
        <v>230</v>
      </c>
      <c r="G107" s="68"/>
      <c r="H107" s="69">
        <f>IF(B107="","",((E107*B107+F107*C107)/SUM(B107:C107)))</f>
        <v>240.9606824925816</v>
      </c>
      <c r="I107" s="2"/>
      <c r="J107" s="66" t="s">
        <v>67</v>
      </c>
      <c r="K107" s="68">
        <f>SUM('GTA_-_NR_FB (relatório para o D'!O96)</f>
        <v>934.4000000000001</v>
      </c>
      <c r="L107" s="68">
        <f>SUM('GTA_-_NR_FB (relatório para o D'!P96)</f>
        <v>551.15</v>
      </c>
      <c r="M107" s="68">
        <f>SUM('GTA_-_NR_FB (relatório para o D'!Q96)</f>
        <v>2</v>
      </c>
      <c r="N107" s="68"/>
      <c r="O107" s="68"/>
      <c r="P107" s="68"/>
      <c r="R107" s="7" t="str">
        <f t="shared" si="6"/>
        <v>20/21</v>
      </c>
      <c r="S107" s="2" t="str">
        <f t="shared" si="8"/>
        <v>0785</v>
      </c>
      <c r="T107" s="48">
        <v>7006</v>
      </c>
      <c r="U107" s="48"/>
      <c r="X107" s="21">
        <f>N107</f>
        <v>0</v>
      </c>
      <c r="Y107" s="50" t="s">
        <v>68</v>
      </c>
    </row>
    <row r="108" spans="1:25" ht="16.5" customHeight="1">
      <c r="A108" s="66" t="s">
        <v>69</v>
      </c>
      <c r="B108" s="68">
        <f>SUM('GTA_-_NR_FB (relatório para o D'!O90)</f>
        <v>421</v>
      </c>
      <c r="C108" s="68">
        <f>SUM('GTA_-_NR_FB (relatório para o D'!P90)</f>
        <v>416.6</v>
      </c>
      <c r="D108" s="34"/>
      <c r="E108" s="68">
        <v>230</v>
      </c>
      <c r="F108" s="68">
        <v>210</v>
      </c>
      <c r="G108" s="71"/>
      <c r="H108" s="69">
        <f>IF(B108="","",((E108*B108+F108*C108)/SUM(B108:C108)))</f>
        <v>220.05253104106973</v>
      </c>
      <c r="I108" s="2"/>
      <c r="J108" s="66" t="s">
        <v>69</v>
      </c>
      <c r="K108" s="68">
        <f>SUM('GTA_-_NR_FB (relatório para o D'!O97)</f>
        <v>496.26000000000005</v>
      </c>
      <c r="L108" s="68">
        <f>SUM('GTA_-_NR_FB (relatório para o D'!P97)</f>
        <v>2021.6000000000001</v>
      </c>
      <c r="M108" s="72">
        <f>SUM('GTA_-_NR_FB (relatório para o D'!Q97)</f>
        <v>121.8</v>
      </c>
      <c r="N108" s="73"/>
      <c r="O108" s="73"/>
      <c r="P108" s="73"/>
      <c r="R108" s="7" t="str">
        <f t="shared" si="6"/>
        <v>20/21</v>
      </c>
      <c r="S108" s="2" t="str">
        <f t="shared" si="8"/>
        <v>0785</v>
      </c>
      <c r="T108" s="48">
        <v>7007</v>
      </c>
      <c r="U108" s="48"/>
      <c r="X108" s="21">
        <f>O107</f>
        <v>0</v>
      </c>
      <c r="Y108" s="50" t="s">
        <v>70</v>
      </c>
    </row>
    <row r="109" spans="1:25" ht="18" customHeight="1">
      <c r="A109" s="35" t="s">
        <v>71</v>
      </c>
      <c r="B109" s="74">
        <f>IF(B101="","",(B108+B107)/B101)</f>
        <v>0.056636553161918</v>
      </c>
      <c r="C109" s="74">
        <f>IF(B101="","",(C108+C107)/B101)</f>
        <v>0.07651146629603892</v>
      </c>
      <c r="D109" s="74">
        <f>IF(B101="","",(D108+D107)/B101)</f>
        <v>0</v>
      </c>
      <c r="E109" s="297">
        <f>IF(B101="","",IF(B109+C109+D109&gt;Bovinos_e_Comerc!$AD$5," -&gt; índices (somados) acima da média",IF(B109+C109+D109&lt;Bovinos_e_Comerc!$AD$4," -&gt; índices (somados) abaixo da média","")))</f>
      </c>
      <c r="F109" s="297"/>
      <c r="G109" s="297"/>
      <c r="H109" s="297"/>
      <c r="I109" s="2"/>
      <c r="J109" s="35" t="s">
        <v>71</v>
      </c>
      <c r="K109" s="75">
        <f>IF(B101="","-",(K108+K107)/B101)</f>
        <v>0.09942043085476025</v>
      </c>
      <c r="L109" s="75">
        <f>IF(B101="","-",(L108+L107)/B101)</f>
        <v>0.17878735232800555</v>
      </c>
      <c r="M109" s="75">
        <f>IF(B101="","-",(M108+M107+O107+N107+P107)/B101)</f>
        <v>0.008603196664350244</v>
      </c>
      <c r="N109" s="298" t="str">
        <f>IF(AND(K109="-",L109="-",M109="-"),"",IF(K109&gt;Bovinos_e_Comerc!$AA$5," -&gt; índice(s) fora da faixa média",IF(K109&lt;Bovinos_e_Comerc!$AA$4," -&gt; índice(s) fora da faixa média",IF(L109&gt;Bovinos_e_Comerc!$AB$5," -&gt; índice(s) fora da faixa média",IF(L109&lt;Bovinos_e_Comerc!$AB$4," -&gt; índice(s) fora da faixa média",IF(M109&gt;Bovinos_e_Comerc!$AC$5," -&gt; índice(s) fora da faixa média",IF(M109&lt;Bovinos_e_Comerc!$AC$4," -&gt; índice(s) fora da faixa média","")))))))</f>
        <v> -&gt; índice(s) fora da faixa média</v>
      </c>
      <c r="O109" s="298"/>
      <c r="P109" s="298"/>
      <c r="R109" s="7" t="str">
        <f t="shared" si="6"/>
        <v>20/21</v>
      </c>
      <c r="S109" s="2" t="str">
        <f t="shared" si="8"/>
        <v>0785</v>
      </c>
      <c r="T109" s="48">
        <v>7008</v>
      </c>
      <c r="U109" s="48"/>
      <c r="X109" s="21">
        <f>P107</f>
        <v>0</v>
      </c>
      <c r="Y109" s="50" t="s">
        <v>72</v>
      </c>
    </row>
    <row r="110" spans="1:25" ht="7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R110" s="7" t="str">
        <f t="shared" si="6"/>
        <v>20/21</v>
      </c>
      <c r="S110" s="2" t="str">
        <f t="shared" si="8"/>
        <v>0785</v>
      </c>
      <c r="T110" s="21" t="s">
        <v>73</v>
      </c>
      <c r="U110" s="21"/>
      <c r="X110" s="21">
        <f>+M107</f>
        <v>2</v>
      </c>
      <c r="Y110" s="23" t="s">
        <v>74</v>
      </c>
    </row>
    <row r="111" spans="1:25" ht="7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R111" s="7" t="str">
        <f t="shared" si="6"/>
        <v>20/21</v>
      </c>
      <c r="S111" s="2" t="str">
        <f t="shared" si="8"/>
        <v>0785</v>
      </c>
      <c r="T111" s="21" t="s">
        <v>75</v>
      </c>
      <c r="U111" s="21">
        <f>+H101</f>
        <v>5540</v>
      </c>
      <c r="X111" s="21"/>
      <c r="Y111" s="23" t="s">
        <v>76</v>
      </c>
    </row>
    <row r="112" spans="1:25" ht="16.5" customHeight="1">
      <c r="A112" s="20" t="s">
        <v>18</v>
      </c>
      <c r="B112" s="20" t="s">
        <v>89</v>
      </c>
      <c r="C112" s="20" t="s">
        <v>90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R112" s="7" t="str">
        <f t="shared" si="6"/>
        <v>20/21</v>
      </c>
      <c r="S112" s="2" t="str">
        <f>+B112</f>
        <v>0840</v>
      </c>
      <c r="T112" s="21">
        <v>7014</v>
      </c>
      <c r="U112" s="21"/>
      <c r="V112" s="2">
        <f>J116</f>
        <v>89458.897</v>
      </c>
      <c r="Y112" s="23" t="s">
        <v>21</v>
      </c>
    </row>
    <row r="113" spans="1:25" ht="6" customHeight="1">
      <c r="A113" s="25"/>
      <c r="B113" s="26"/>
      <c r="C113" s="27"/>
      <c r="D113" s="27"/>
      <c r="E113" s="27"/>
      <c r="F113" s="27"/>
      <c r="G113" s="2"/>
      <c r="H113" s="2"/>
      <c r="I113" s="28"/>
      <c r="J113" s="2"/>
      <c r="K113" s="2"/>
      <c r="L113" s="29"/>
      <c r="M113" s="2"/>
      <c r="N113" s="2"/>
      <c r="O113" s="2"/>
      <c r="P113" s="2"/>
      <c r="R113" s="7" t="str">
        <f t="shared" si="6"/>
        <v>20/21</v>
      </c>
      <c r="S113" s="2" t="str">
        <f aca="true" t="shared" si="9" ref="S113:S126">+S112</f>
        <v>0840</v>
      </c>
      <c r="V113" s="13">
        <f>M116</f>
        <v>53886</v>
      </c>
      <c r="Y113" s="2" t="s">
        <v>22</v>
      </c>
    </row>
    <row r="114" spans="1:25" ht="11.25" customHeight="1">
      <c r="A114" s="34"/>
      <c r="B114" s="299" t="s">
        <v>26</v>
      </c>
      <c r="C114" s="307" t="s">
        <v>27</v>
      </c>
      <c r="D114" s="307"/>
      <c r="E114" s="307" t="s">
        <v>28</v>
      </c>
      <c r="F114" s="307"/>
      <c r="G114" s="34"/>
      <c r="H114" s="307" t="s">
        <v>29</v>
      </c>
      <c r="I114" s="2"/>
      <c r="J114" s="303" t="s">
        <v>30</v>
      </c>
      <c r="K114" s="308"/>
      <c r="L114" s="308"/>
      <c r="M114" s="303" t="s">
        <v>31</v>
      </c>
      <c r="N114" s="36"/>
      <c r="O114" s="2"/>
      <c r="P114" s="303" t="s">
        <v>32</v>
      </c>
      <c r="R114" s="7" t="str">
        <f t="shared" si="6"/>
        <v>20/21</v>
      </c>
      <c r="S114" s="2" t="str">
        <f t="shared" si="9"/>
        <v>0840</v>
      </c>
      <c r="T114" s="21" t="s">
        <v>33</v>
      </c>
      <c r="U114" s="21"/>
      <c r="V114" s="21">
        <f>+B116</f>
        <v>43490</v>
      </c>
      <c r="W114" s="37">
        <f>+H122</f>
        <v>238.07641488658885</v>
      </c>
      <c r="X114" s="21">
        <f>B122+C122</f>
        <v>3632.8</v>
      </c>
      <c r="Y114" s="23" t="s">
        <v>34</v>
      </c>
    </row>
    <row r="115" spans="1:25" ht="12" customHeight="1">
      <c r="A115" s="34"/>
      <c r="B115" s="299"/>
      <c r="C115" s="38" t="s">
        <v>36</v>
      </c>
      <c r="D115" s="38" t="s">
        <v>37</v>
      </c>
      <c r="E115" s="38" t="s">
        <v>36</v>
      </c>
      <c r="F115" s="38" t="s">
        <v>37</v>
      </c>
      <c r="G115" s="34"/>
      <c r="H115" s="307"/>
      <c r="I115" s="2"/>
      <c r="J115" s="303"/>
      <c r="K115" s="308"/>
      <c r="L115" s="308"/>
      <c r="M115" s="308"/>
      <c r="N115" s="36"/>
      <c r="O115" s="2"/>
      <c r="P115" s="303"/>
      <c r="R115" s="7" t="str">
        <f t="shared" si="6"/>
        <v>20/21</v>
      </c>
      <c r="S115" s="2" t="str">
        <f t="shared" si="9"/>
        <v>0840</v>
      </c>
      <c r="T115" s="21" t="s">
        <v>38</v>
      </c>
      <c r="U115" s="21"/>
      <c r="V115" s="76"/>
      <c r="W115" s="37">
        <f>H123</f>
        <v>222.49516032522615</v>
      </c>
      <c r="X115" s="21">
        <f>B123+C123</f>
        <v>5682.2</v>
      </c>
      <c r="Y115" s="23" t="s">
        <v>39</v>
      </c>
    </row>
    <row r="116" spans="1:25" ht="16.5" customHeight="1">
      <c r="A116" s="299" t="s">
        <v>40</v>
      </c>
      <c r="B116" s="304">
        <f>SUM(Reb__Est__por_faixa_etária!O12)</f>
        <v>43490</v>
      </c>
      <c r="C116" s="40">
        <f>'Leite_-_Produção'!Y15</f>
        <v>0.10595539204414808</v>
      </c>
      <c r="D116" s="40">
        <f>100%-(C116+E116+F116)</f>
        <v>0.7740446079558518</v>
      </c>
      <c r="E116" s="41">
        <v>0.04</v>
      </c>
      <c r="F116" s="41">
        <v>0.08</v>
      </c>
      <c r="G116" s="34" t="str">
        <f>IF(SUM(C117:F117)=0,"",IF(SUM(C116:F116)&lt;1,"&lt;100%",IF(SUM(C116:F116)&gt;1,"&gt;100%","OK")))</f>
        <v>OK</v>
      </c>
      <c r="H116" s="42">
        <f>Reb__Est__por_faixa_etária!B37</f>
        <v>13970</v>
      </c>
      <c r="I116" s="2"/>
      <c r="J116" s="43">
        <f>'Leite_-_Produção'!R15</f>
        <v>89458.897</v>
      </c>
      <c r="K116" s="44"/>
      <c r="L116" s="305"/>
      <c r="M116" s="45">
        <f>TRUNC(((C117+E117)*Bovinos_e_Comerc!$AD$8)+D117*Bovinos_e_Comerc!$AD$9,0)</f>
        <v>53886</v>
      </c>
      <c r="N116" s="46"/>
      <c r="O116" s="2"/>
      <c r="P116" s="47">
        <f>IF(OR(H116="",B116=""),"-",(D117+F117)/H116)</f>
        <v>2.6587258410880454</v>
      </c>
      <c r="R116" s="7" t="str">
        <f t="shared" si="6"/>
        <v>20/21</v>
      </c>
      <c r="S116" s="2" t="str">
        <f t="shared" si="9"/>
        <v>0840</v>
      </c>
      <c r="T116" s="48">
        <v>7590</v>
      </c>
      <c r="U116" s="48"/>
      <c r="V116" s="76"/>
      <c r="W116" s="49">
        <f>+G122</f>
        <v>0</v>
      </c>
      <c r="X116" s="21">
        <f>D122</f>
        <v>0</v>
      </c>
      <c r="Y116" s="50" t="s">
        <v>41</v>
      </c>
    </row>
    <row r="117" spans="1:25" ht="16.5" customHeight="1">
      <c r="A117" s="299"/>
      <c r="B117" s="304"/>
      <c r="C117" s="53">
        <f>+C116*B116</f>
        <v>4608</v>
      </c>
      <c r="D117" s="53">
        <f>+D116*B116</f>
        <v>33663.2</v>
      </c>
      <c r="E117" s="53">
        <f>+E116*B116</f>
        <v>1739.6000000000001</v>
      </c>
      <c r="F117" s="53">
        <f>+F116*B116</f>
        <v>3479.2000000000003</v>
      </c>
      <c r="G117" s="34"/>
      <c r="H117" s="34"/>
      <c r="I117" s="2"/>
      <c r="J117" s="34"/>
      <c r="K117" s="34"/>
      <c r="L117" s="305"/>
      <c r="M117" s="34"/>
      <c r="N117" s="34"/>
      <c r="O117" s="34"/>
      <c r="P117" s="34"/>
      <c r="R117" s="7" t="str">
        <f t="shared" si="6"/>
        <v>20/21</v>
      </c>
      <c r="S117" s="2" t="str">
        <f t="shared" si="9"/>
        <v>0840</v>
      </c>
      <c r="T117" s="21" t="s">
        <v>42</v>
      </c>
      <c r="U117" s="21"/>
      <c r="V117" s="76"/>
      <c r="W117" s="76"/>
      <c r="X117" s="21">
        <f>K122</f>
        <v>2959.4399999999996</v>
      </c>
      <c r="Y117" s="23" t="s">
        <v>43</v>
      </c>
    </row>
    <row r="118" spans="1:25" ht="4.5" customHeight="1">
      <c r="A118" s="77"/>
      <c r="B118" s="78"/>
      <c r="C118" s="79"/>
      <c r="D118" s="79"/>
      <c r="E118" s="79"/>
      <c r="F118" s="79"/>
      <c r="G118" s="79"/>
      <c r="H118" s="34"/>
      <c r="I118" s="28"/>
      <c r="J118" s="34"/>
      <c r="K118" s="34"/>
      <c r="L118" s="80"/>
      <c r="M118" s="34"/>
      <c r="N118" s="34"/>
      <c r="O118" s="34"/>
      <c r="P118" s="34"/>
      <c r="R118" s="7" t="str">
        <f t="shared" si="6"/>
        <v>20/21</v>
      </c>
      <c r="S118" s="2" t="str">
        <f t="shared" si="9"/>
        <v>0840</v>
      </c>
      <c r="T118" s="21" t="s">
        <v>44</v>
      </c>
      <c r="U118" s="21"/>
      <c r="V118" s="76"/>
      <c r="W118" s="76"/>
      <c r="X118" s="21">
        <f>K123</f>
        <v>2731.9500000000003</v>
      </c>
      <c r="Y118" s="23" t="s">
        <v>45</v>
      </c>
    </row>
    <row r="119" spans="1:25" ht="16.5" customHeight="1">
      <c r="A119" s="301" t="s">
        <v>46</v>
      </c>
      <c r="B119" s="306" t="s">
        <v>47</v>
      </c>
      <c r="C119" s="306"/>
      <c r="D119" s="306"/>
      <c r="E119" s="306" t="s">
        <v>48</v>
      </c>
      <c r="F119" s="306"/>
      <c r="G119" s="306"/>
      <c r="H119" s="307" t="s">
        <v>49</v>
      </c>
      <c r="I119" s="2"/>
      <c r="J119" s="301" t="s">
        <v>46</v>
      </c>
      <c r="K119" s="306" t="s">
        <v>50</v>
      </c>
      <c r="L119" s="306"/>
      <c r="M119" s="306"/>
      <c r="N119" s="299" t="s">
        <v>51</v>
      </c>
      <c r="O119" s="299"/>
      <c r="P119" s="299"/>
      <c r="R119" s="7" t="str">
        <f t="shared" si="6"/>
        <v>20/21</v>
      </c>
      <c r="S119" s="2" t="str">
        <f t="shared" si="9"/>
        <v>0840</v>
      </c>
      <c r="T119" s="21" t="s">
        <v>52</v>
      </c>
      <c r="U119" s="21"/>
      <c r="V119" s="76"/>
      <c r="W119" s="76"/>
      <c r="X119" s="21">
        <f>L122</f>
        <v>1564.8000000000002</v>
      </c>
      <c r="Y119" s="23" t="s">
        <v>53</v>
      </c>
    </row>
    <row r="120" spans="1:25" ht="16.5" customHeight="1">
      <c r="A120" s="301"/>
      <c r="B120" s="300" t="s">
        <v>54</v>
      </c>
      <c r="C120" s="300" t="s">
        <v>55</v>
      </c>
      <c r="D120" s="300" t="s">
        <v>56</v>
      </c>
      <c r="E120" s="300" t="s">
        <v>54</v>
      </c>
      <c r="F120" s="300" t="s">
        <v>55</v>
      </c>
      <c r="G120" s="300" t="s">
        <v>56</v>
      </c>
      <c r="H120" s="307"/>
      <c r="I120" s="2"/>
      <c r="J120" s="301"/>
      <c r="K120" s="302" t="s">
        <v>57</v>
      </c>
      <c r="L120" s="302" t="s">
        <v>58</v>
      </c>
      <c r="M120" s="302" t="s">
        <v>59</v>
      </c>
      <c r="N120" s="299"/>
      <c r="O120" s="299"/>
      <c r="P120" s="299"/>
      <c r="R120" s="7" t="str">
        <f t="shared" si="6"/>
        <v>20/21</v>
      </c>
      <c r="S120" s="2" t="str">
        <f t="shared" si="9"/>
        <v>0840</v>
      </c>
      <c r="T120" s="21" t="s">
        <v>60</v>
      </c>
      <c r="U120" s="21"/>
      <c r="X120" s="21">
        <f>+L123</f>
        <v>5685.75</v>
      </c>
      <c r="Y120" s="23" t="s">
        <v>61</v>
      </c>
    </row>
    <row r="121" spans="1:25" ht="18" customHeight="1">
      <c r="A121" s="301"/>
      <c r="B121" s="301"/>
      <c r="C121" s="301"/>
      <c r="D121" s="301"/>
      <c r="E121" s="301"/>
      <c r="F121" s="301"/>
      <c r="G121" s="301"/>
      <c r="H121" s="301"/>
      <c r="I121" s="2"/>
      <c r="J121" s="301"/>
      <c r="K121" s="301"/>
      <c r="L121" s="301"/>
      <c r="M121" s="301"/>
      <c r="N121" s="66" t="s">
        <v>62</v>
      </c>
      <c r="O121" s="66" t="s">
        <v>63</v>
      </c>
      <c r="P121" s="66" t="s">
        <v>64</v>
      </c>
      <c r="R121" s="7" t="str">
        <f t="shared" si="6"/>
        <v>20/21</v>
      </c>
      <c r="S121" s="2" t="str">
        <f t="shared" si="9"/>
        <v>0840</v>
      </c>
      <c r="T121" s="21" t="s">
        <v>65</v>
      </c>
      <c r="U121" s="21"/>
      <c r="X121" s="21">
        <f>+M123</f>
        <v>1089.8999999999999</v>
      </c>
      <c r="Y121" s="23" t="s">
        <v>66</v>
      </c>
    </row>
    <row r="122" spans="1:25" ht="16.5" customHeight="1">
      <c r="A122" s="66" t="s">
        <v>67</v>
      </c>
      <c r="B122" s="68">
        <f>SUM('GTA_-_NR_FB (relatório para o D'!O103)</f>
        <v>978</v>
      </c>
      <c r="C122" s="67">
        <f>SUM('GTA_-_NR_FB (relatório para o D'!P103)</f>
        <v>2654.8</v>
      </c>
      <c r="D122" s="68"/>
      <c r="E122" s="68">
        <v>260</v>
      </c>
      <c r="F122" s="68">
        <v>230</v>
      </c>
      <c r="G122" s="68"/>
      <c r="H122" s="69">
        <f>IF(B122="","",((E122*B122+F122*C122)/SUM(B122:C122)))</f>
        <v>238.07641488658885</v>
      </c>
      <c r="I122" s="2"/>
      <c r="J122" s="66" t="s">
        <v>67</v>
      </c>
      <c r="K122" s="68">
        <f>SUM('GTA_-_NR_FB (relatório para o D'!O110)</f>
        <v>2959.4399999999996</v>
      </c>
      <c r="L122" s="68">
        <f>SUM('GTA_-_NR_FB (relatório para o D'!P110)</f>
        <v>1564.8000000000002</v>
      </c>
      <c r="M122" s="68">
        <f>SUM('GTA_-_NR_FB (relatório para o D'!Q110)</f>
        <v>38</v>
      </c>
      <c r="N122" s="68"/>
      <c r="O122" s="68"/>
      <c r="P122" s="68"/>
      <c r="R122" s="7" t="str">
        <f t="shared" si="6"/>
        <v>20/21</v>
      </c>
      <c r="S122" s="2" t="str">
        <f t="shared" si="9"/>
        <v>0840</v>
      </c>
      <c r="T122" s="48">
        <v>7006</v>
      </c>
      <c r="U122" s="48"/>
      <c r="X122" s="21">
        <f>N122</f>
        <v>0</v>
      </c>
      <c r="Y122" s="50" t="s">
        <v>68</v>
      </c>
    </row>
    <row r="123" spans="1:25" ht="16.5" customHeight="1">
      <c r="A123" s="66" t="s">
        <v>69</v>
      </c>
      <c r="B123" s="68">
        <f>SUM('GTA_-_NR_FB (relatório para o D'!O104)</f>
        <v>3550</v>
      </c>
      <c r="C123" s="67">
        <f>SUM('GTA_-_NR_FB (relatório para o D'!P104)</f>
        <v>2132.2</v>
      </c>
      <c r="D123" s="34"/>
      <c r="E123" s="68">
        <v>230</v>
      </c>
      <c r="F123" s="68">
        <v>210</v>
      </c>
      <c r="G123" s="71"/>
      <c r="H123" s="69">
        <f>IF(B123="","",((E123*B123+F123*C123)/SUM(B123:C123)))</f>
        <v>222.49516032522615</v>
      </c>
      <c r="I123" s="2"/>
      <c r="J123" s="66" t="s">
        <v>69</v>
      </c>
      <c r="K123" s="68">
        <f>SUM('GTA_-_NR_FB (relatório para o D'!O111)</f>
        <v>2731.9500000000003</v>
      </c>
      <c r="L123" s="68">
        <f>SUM('GTA_-_NR_FB (relatório para o D'!P111)</f>
        <v>5685.75</v>
      </c>
      <c r="M123" s="72">
        <f>SUM('GTA_-_NR_FB (relatório para o D'!Q111)</f>
        <v>1089.8999999999999</v>
      </c>
      <c r="N123" s="73"/>
      <c r="O123" s="73"/>
      <c r="P123" s="73"/>
      <c r="R123" s="7" t="str">
        <f t="shared" si="6"/>
        <v>20/21</v>
      </c>
      <c r="S123" s="2" t="str">
        <f t="shared" si="9"/>
        <v>0840</v>
      </c>
      <c r="T123" s="48">
        <v>7007</v>
      </c>
      <c r="U123" s="48"/>
      <c r="X123" s="21">
        <f>O122</f>
        <v>0</v>
      </c>
      <c r="Y123" s="50" t="s">
        <v>70</v>
      </c>
    </row>
    <row r="124" spans="1:25" ht="18" customHeight="1">
      <c r="A124" s="35" t="s">
        <v>71</v>
      </c>
      <c r="B124" s="74">
        <f>IF(B116="","",(B123+B122)/B116)</f>
        <v>0.10411588871004829</v>
      </c>
      <c r="C124" s="74">
        <f>IF(B116="","",(C123+C122)/B116)</f>
        <v>0.11007128075419637</v>
      </c>
      <c r="D124" s="74">
        <f>IF(B116="","",(D123+D122)/B116)</f>
        <v>0</v>
      </c>
      <c r="E124" s="297">
        <f>IF(B116="","",IF(B124+C124+D124&gt;Bovinos_e_Comerc!$AD$5," -&gt; índices (somados) acima da média",IF(B124+C124+D124&lt;Bovinos_e_Comerc!$AD$4," -&gt; índices (somados) abaixo da média","")))</f>
      </c>
      <c r="F124" s="297"/>
      <c r="G124" s="297"/>
      <c r="H124" s="297"/>
      <c r="I124" s="2"/>
      <c r="J124" s="35" t="s">
        <v>71</v>
      </c>
      <c r="K124" s="75">
        <f>IF(B116="","-",(K123+K122)/B116)</f>
        <v>0.13086663600827775</v>
      </c>
      <c r="L124" s="75">
        <f>IF(B116="","-",(L123+L122)/B116)</f>
        <v>0.1667176362382157</v>
      </c>
      <c r="M124" s="75">
        <f>IF(B116="","-",(M123+M122+O122+N122+P122)/B116)</f>
        <v>0.025934697631639456</v>
      </c>
      <c r="N124" s="298">
        <f>IF(AND(K124="-",L124="-",M124="-"),"",IF(K124&gt;Bovinos_e_Comerc!$AA$5," -&gt; índice(s) fora da faixa média",IF(K124&lt;Bovinos_e_Comerc!$AA$4," -&gt; índice(s) fora da faixa média",IF(L124&gt;Bovinos_e_Comerc!$AB$5," -&gt; índice(s) fora da faixa média",IF(L124&lt;Bovinos_e_Comerc!$AB$4," -&gt; índice(s) fora da faixa média",IF(M124&gt;Bovinos_e_Comerc!$AC$5," -&gt; índice(s) fora da faixa média",IF(M124&lt;Bovinos_e_Comerc!$AC$4," -&gt; índice(s) fora da faixa média","")))))))</f>
      </c>
      <c r="O124" s="298"/>
      <c r="P124" s="298"/>
      <c r="R124" s="7" t="str">
        <f t="shared" si="6"/>
        <v>20/21</v>
      </c>
      <c r="S124" s="2" t="str">
        <f t="shared" si="9"/>
        <v>0840</v>
      </c>
      <c r="T124" s="48">
        <v>7008</v>
      </c>
      <c r="U124" s="48"/>
      <c r="X124" s="21">
        <f>P122</f>
        <v>0</v>
      </c>
      <c r="Y124" s="50" t="s">
        <v>72</v>
      </c>
    </row>
    <row r="125" spans="1:25" ht="7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R125" s="7" t="str">
        <f t="shared" si="6"/>
        <v>20/21</v>
      </c>
      <c r="S125" s="2" t="str">
        <f t="shared" si="9"/>
        <v>0840</v>
      </c>
      <c r="T125" s="21" t="s">
        <v>73</v>
      </c>
      <c r="U125" s="21"/>
      <c r="W125" s="18"/>
      <c r="X125" s="21">
        <f>+M122</f>
        <v>38</v>
      </c>
      <c r="Y125" s="23" t="s">
        <v>74</v>
      </c>
    </row>
    <row r="126" spans="1:25" ht="7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R126" s="7" t="str">
        <f t="shared" si="6"/>
        <v>20/21</v>
      </c>
      <c r="S126" s="2" t="str">
        <f t="shared" si="9"/>
        <v>0840</v>
      </c>
      <c r="T126" s="21" t="s">
        <v>75</v>
      </c>
      <c r="U126" s="21">
        <f>+H116</f>
        <v>13970</v>
      </c>
      <c r="W126" s="18"/>
      <c r="X126" s="21"/>
      <c r="Y126" s="23" t="s">
        <v>76</v>
      </c>
    </row>
    <row r="127" spans="1:25" ht="16.5" customHeight="1">
      <c r="A127" s="20" t="s">
        <v>18</v>
      </c>
      <c r="B127" s="20" t="s">
        <v>91</v>
      </c>
      <c r="C127" s="20" t="s">
        <v>92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R127" s="7" t="str">
        <f t="shared" si="6"/>
        <v>20/21</v>
      </c>
      <c r="S127" s="2" t="str">
        <f>+B127</f>
        <v>1435</v>
      </c>
      <c r="T127" s="21">
        <v>7014</v>
      </c>
      <c r="U127" s="21"/>
      <c r="V127" s="2">
        <f>J131</f>
        <v>15821.218</v>
      </c>
      <c r="Y127" s="23" t="s">
        <v>21</v>
      </c>
    </row>
    <row r="128" spans="1:25" ht="6" customHeight="1">
      <c r="A128" s="25"/>
      <c r="B128" s="26"/>
      <c r="C128" s="27"/>
      <c r="D128" s="27"/>
      <c r="E128" s="27"/>
      <c r="F128" s="27"/>
      <c r="G128" s="2"/>
      <c r="H128" s="2"/>
      <c r="I128" s="28"/>
      <c r="J128" s="2"/>
      <c r="K128" s="2"/>
      <c r="L128" s="29"/>
      <c r="M128" s="2"/>
      <c r="N128" s="2"/>
      <c r="O128" s="2"/>
      <c r="P128" s="2"/>
      <c r="R128" s="7" t="str">
        <f t="shared" si="6"/>
        <v>20/21</v>
      </c>
      <c r="S128" s="2" t="str">
        <f aca="true" t="shared" si="10" ref="S128:S141">+S127</f>
        <v>1435</v>
      </c>
      <c r="V128" s="13">
        <f>M131</f>
        <v>11161</v>
      </c>
      <c r="Y128" s="2" t="s">
        <v>22</v>
      </c>
    </row>
    <row r="129" spans="1:25" ht="11.25" customHeight="1">
      <c r="A129" s="34"/>
      <c r="B129" s="299" t="s">
        <v>26</v>
      </c>
      <c r="C129" s="307" t="s">
        <v>27</v>
      </c>
      <c r="D129" s="307"/>
      <c r="E129" s="307" t="s">
        <v>28</v>
      </c>
      <c r="F129" s="307"/>
      <c r="G129" s="34"/>
      <c r="H129" s="307" t="s">
        <v>29</v>
      </c>
      <c r="I129" s="2"/>
      <c r="J129" s="303" t="s">
        <v>30</v>
      </c>
      <c r="K129" s="308"/>
      <c r="L129" s="308"/>
      <c r="M129" s="303" t="s">
        <v>31</v>
      </c>
      <c r="N129" s="36"/>
      <c r="O129" s="2"/>
      <c r="P129" s="303" t="s">
        <v>32</v>
      </c>
      <c r="R129" s="7" t="str">
        <f t="shared" si="6"/>
        <v>20/21</v>
      </c>
      <c r="S129" s="2" t="str">
        <f t="shared" si="10"/>
        <v>1435</v>
      </c>
      <c r="T129" s="21" t="s">
        <v>33</v>
      </c>
      <c r="U129" s="21"/>
      <c r="V129" s="21">
        <f>+B131</f>
        <v>22065</v>
      </c>
      <c r="W129" s="37">
        <f>+H137</f>
        <v>246.12207151664612</v>
      </c>
      <c r="X129" s="21">
        <f>B137+C137</f>
        <v>973.2</v>
      </c>
      <c r="Y129" s="23" t="s">
        <v>34</v>
      </c>
    </row>
    <row r="130" spans="1:25" ht="12" customHeight="1">
      <c r="A130" s="34"/>
      <c r="B130" s="299"/>
      <c r="C130" s="38" t="s">
        <v>36</v>
      </c>
      <c r="D130" s="38" t="s">
        <v>37</v>
      </c>
      <c r="E130" s="38" t="s">
        <v>36</v>
      </c>
      <c r="F130" s="38" t="s">
        <v>37</v>
      </c>
      <c r="G130" s="34"/>
      <c r="H130" s="307"/>
      <c r="I130" s="2"/>
      <c r="J130" s="303"/>
      <c r="K130" s="308"/>
      <c r="L130" s="308"/>
      <c r="M130" s="308"/>
      <c r="N130" s="36"/>
      <c r="O130" s="2"/>
      <c r="P130" s="303"/>
      <c r="R130" s="7" t="str">
        <f t="shared" si="6"/>
        <v>20/21</v>
      </c>
      <c r="S130" s="2" t="str">
        <f t="shared" si="10"/>
        <v>1435</v>
      </c>
      <c r="T130" s="21" t="s">
        <v>38</v>
      </c>
      <c r="U130" s="21"/>
      <c r="V130" s="39"/>
      <c r="W130" s="37">
        <f>H138</f>
        <v>224.280132838445</v>
      </c>
      <c r="X130" s="21">
        <f>B138+C138</f>
        <v>1023.8</v>
      </c>
      <c r="Y130" s="23" t="s">
        <v>39</v>
      </c>
    </row>
    <row r="131" spans="1:25" ht="16.5" customHeight="1">
      <c r="A131" s="299" t="s">
        <v>40</v>
      </c>
      <c r="B131" s="304">
        <f>SUM(Reb__Est__por_faixa_etária!O13)</f>
        <v>22065</v>
      </c>
      <c r="C131" s="40">
        <f>'Leite_-_Produção'!Y16</f>
        <v>0.008112395196011783</v>
      </c>
      <c r="D131" s="40">
        <f>100%-(C131+E131+F131)</f>
        <v>0.5218876048039882</v>
      </c>
      <c r="E131" s="41"/>
      <c r="F131" s="41">
        <v>0.47</v>
      </c>
      <c r="G131" s="34" t="str">
        <f>IF(SUM(C132:F132)=0,"",IF(SUM(C131:F131)&lt;1,"&lt;100%",IF(SUM(C131:F131)&gt;1,"&gt;100%","OK")))</f>
        <v>OK</v>
      </c>
      <c r="H131" s="42">
        <f>Reb__Est__por_faixa_etária!B38</f>
        <v>10046</v>
      </c>
      <c r="I131" s="2"/>
      <c r="J131" s="43">
        <f>'Leite_-_Produção'!R16</f>
        <v>15821.218</v>
      </c>
      <c r="K131" s="44"/>
      <c r="L131" s="305"/>
      <c r="M131" s="45">
        <f>TRUNC(((C132+E132)*Bovinos_e_Comerc!$AD$8)+D132*Bovinos_e_Comerc!$AD$9,0)</f>
        <v>11161</v>
      </c>
      <c r="N131" s="46"/>
      <c r="O131" s="2"/>
      <c r="P131" s="47">
        <f>IF(OR(H131="",B131=""),"-",(D132+F132)/H131)</f>
        <v>2.1785785387218795</v>
      </c>
      <c r="R131" s="7" t="str">
        <f t="shared" si="6"/>
        <v>20/21</v>
      </c>
      <c r="S131" s="2" t="str">
        <f t="shared" si="10"/>
        <v>1435</v>
      </c>
      <c r="T131" s="48">
        <v>7590</v>
      </c>
      <c r="U131" s="48"/>
      <c r="V131" s="39"/>
      <c r="W131" s="49">
        <f>+G137</f>
        <v>0</v>
      </c>
      <c r="X131" s="21">
        <f>D137</f>
        <v>0</v>
      </c>
      <c r="Y131" s="50" t="s">
        <v>41</v>
      </c>
    </row>
    <row r="132" spans="1:25" ht="16.5" customHeight="1">
      <c r="A132" s="299"/>
      <c r="B132" s="304"/>
      <c r="C132" s="53">
        <f>+C131*B131</f>
        <v>179</v>
      </c>
      <c r="D132" s="53">
        <f>+D131*B131</f>
        <v>11515.45</v>
      </c>
      <c r="E132" s="53">
        <f>+E131*B131</f>
        <v>0</v>
      </c>
      <c r="F132" s="53">
        <f>+F131*B131</f>
        <v>10370.55</v>
      </c>
      <c r="G132" s="34"/>
      <c r="H132" s="34"/>
      <c r="I132" s="2"/>
      <c r="J132" s="34"/>
      <c r="K132" s="34"/>
      <c r="L132" s="305"/>
      <c r="M132" s="34"/>
      <c r="N132" s="34"/>
      <c r="O132" s="34"/>
      <c r="P132" s="34"/>
      <c r="R132" s="7" t="str">
        <f t="shared" si="6"/>
        <v>20/21</v>
      </c>
      <c r="S132" s="2" t="str">
        <f t="shared" si="10"/>
        <v>1435</v>
      </c>
      <c r="T132" s="21" t="s">
        <v>42</v>
      </c>
      <c r="U132" s="21"/>
      <c r="V132" s="39"/>
      <c r="W132" s="39"/>
      <c r="X132" s="21">
        <f>K137</f>
        <v>2171</v>
      </c>
      <c r="Y132" s="23" t="s">
        <v>43</v>
      </c>
    </row>
    <row r="133" spans="1:25" ht="4.5" customHeight="1">
      <c r="A133" s="77"/>
      <c r="B133" s="78"/>
      <c r="C133" s="79"/>
      <c r="D133" s="79"/>
      <c r="E133" s="79"/>
      <c r="F133" s="79"/>
      <c r="G133" s="79"/>
      <c r="H133" s="34"/>
      <c r="I133" s="28"/>
      <c r="J133" s="34"/>
      <c r="K133" s="34"/>
      <c r="L133" s="80"/>
      <c r="M133" s="34"/>
      <c r="N133" s="34"/>
      <c r="O133" s="34"/>
      <c r="P133" s="34"/>
      <c r="R133" s="7" t="str">
        <f t="shared" si="6"/>
        <v>20/21</v>
      </c>
      <c r="S133" s="2" t="str">
        <f t="shared" si="10"/>
        <v>1435</v>
      </c>
      <c r="T133" s="21" t="s">
        <v>44</v>
      </c>
      <c r="U133" s="21"/>
      <c r="V133" s="39"/>
      <c r="W133" s="39"/>
      <c r="X133" s="21">
        <f>K138</f>
        <v>1764</v>
      </c>
      <c r="Y133" s="23" t="s">
        <v>45</v>
      </c>
    </row>
    <row r="134" spans="1:25" ht="16.5" customHeight="1">
      <c r="A134" s="301" t="s">
        <v>46</v>
      </c>
      <c r="B134" s="306" t="s">
        <v>47</v>
      </c>
      <c r="C134" s="306"/>
      <c r="D134" s="306"/>
      <c r="E134" s="306" t="s">
        <v>48</v>
      </c>
      <c r="F134" s="306"/>
      <c r="G134" s="306"/>
      <c r="H134" s="307" t="s">
        <v>49</v>
      </c>
      <c r="I134" s="2"/>
      <c r="J134" s="301" t="s">
        <v>46</v>
      </c>
      <c r="K134" s="306" t="s">
        <v>50</v>
      </c>
      <c r="L134" s="306"/>
      <c r="M134" s="306"/>
      <c r="N134" s="299" t="s">
        <v>51</v>
      </c>
      <c r="O134" s="299"/>
      <c r="P134" s="299"/>
      <c r="R134" s="7" t="str">
        <f t="shared" si="6"/>
        <v>20/21</v>
      </c>
      <c r="S134" s="2" t="str">
        <f t="shared" si="10"/>
        <v>1435</v>
      </c>
      <c r="T134" s="21" t="s">
        <v>52</v>
      </c>
      <c r="U134" s="21"/>
      <c r="V134" s="39"/>
      <c r="W134" s="39"/>
      <c r="X134" s="21">
        <f>L137</f>
        <v>1255.5</v>
      </c>
      <c r="Y134" s="23" t="s">
        <v>53</v>
      </c>
    </row>
    <row r="135" spans="1:25" ht="16.5" customHeight="1">
      <c r="A135" s="301"/>
      <c r="B135" s="300" t="s">
        <v>54</v>
      </c>
      <c r="C135" s="300" t="s">
        <v>55</v>
      </c>
      <c r="D135" s="300" t="s">
        <v>56</v>
      </c>
      <c r="E135" s="300" t="s">
        <v>54</v>
      </c>
      <c r="F135" s="300" t="s">
        <v>55</v>
      </c>
      <c r="G135" s="300" t="s">
        <v>56</v>
      </c>
      <c r="H135" s="307"/>
      <c r="I135" s="2"/>
      <c r="J135" s="301"/>
      <c r="K135" s="302" t="s">
        <v>57</v>
      </c>
      <c r="L135" s="302" t="s">
        <v>58</v>
      </c>
      <c r="M135" s="302" t="s">
        <v>59</v>
      </c>
      <c r="N135" s="299"/>
      <c r="O135" s="299"/>
      <c r="P135" s="299"/>
      <c r="R135" s="7" t="str">
        <f aca="true" t="shared" si="11" ref="R135:R198">+$S$5</f>
        <v>20/21</v>
      </c>
      <c r="S135" s="2" t="str">
        <f t="shared" si="10"/>
        <v>1435</v>
      </c>
      <c r="T135" s="21" t="s">
        <v>60</v>
      </c>
      <c r="U135" s="21"/>
      <c r="X135" s="21">
        <f>+L138</f>
        <v>2777.6000000000004</v>
      </c>
      <c r="Y135" s="23" t="s">
        <v>61</v>
      </c>
    </row>
    <row r="136" spans="1:25" ht="18" customHeight="1">
      <c r="A136" s="301"/>
      <c r="B136" s="301"/>
      <c r="C136" s="301"/>
      <c r="D136" s="301"/>
      <c r="E136" s="301"/>
      <c r="F136" s="301"/>
      <c r="G136" s="301"/>
      <c r="H136" s="301"/>
      <c r="I136" s="2"/>
      <c r="J136" s="301"/>
      <c r="K136" s="301"/>
      <c r="L136" s="301"/>
      <c r="M136" s="301"/>
      <c r="N136" s="66" t="s">
        <v>62</v>
      </c>
      <c r="O136" s="66" t="s">
        <v>63</v>
      </c>
      <c r="P136" s="66" t="s">
        <v>64</v>
      </c>
      <c r="R136" s="7" t="str">
        <f t="shared" si="11"/>
        <v>20/21</v>
      </c>
      <c r="S136" s="2" t="str">
        <f t="shared" si="10"/>
        <v>1435</v>
      </c>
      <c r="T136" s="21" t="s">
        <v>65</v>
      </c>
      <c r="U136" s="21"/>
      <c r="X136" s="21">
        <f>+M138</f>
        <v>102.19999999999999</v>
      </c>
      <c r="Y136" s="23" t="s">
        <v>66</v>
      </c>
    </row>
    <row r="137" spans="1:25" ht="16.5" customHeight="1">
      <c r="A137" s="66" t="s">
        <v>67</v>
      </c>
      <c r="B137" s="68">
        <f>SUM('GTA_-_NR_FB (relatório para o D'!O117)</f>
        <v>523</v>
      </c>
      <c r="C137" s="68">
        <f>SUM('GTA_-_NR_FB (relatório para o D'!P117)</f>
        <v>450.20000000000005</v>
      </c>
      <c r="D137" s="68"/>
      <c r="E137" s="68">
        <v>260</v>
      </c>
      <c r="F137" s="68">
        <v>230</v>
      </c>
      <c r="G137" s="68"/>
      <c r="H137" s="69">
        <f>IF(B137="","",((E137*B137+F137*C137)/SUM(B137:C137)))</f>
        <v>246.12207151664612</v>
      </c>
      <c r="I137" s="2"/>
      <c r="J137" s="66" t="s">
        <v>67</v>
      </c>
      <c r="K137" s="68">
        <f>SUM('GTA_-_NR_FB (relatório para o D'!O124)</f>
        <v>2171</v>
      </c>
      <c r="L137" s="68">
        <f>SUM('GTA_-_NR_FB (relatório para o D'!P124)</f>
        <v>1255.5</v>
      </c>
      <c r="M137" s="68">
        <f>SUM('GTA_-_NR_FB (relatório para o D'!Q124)</f>
        <v>14</v>
      </c>
      <c r="N137" s="68"/>
      <c r="O137" s="68"/>
      <c r="P137" s="68"/>
      <c r="R137" s="7" t="str">
        <f t="shared" si="11"/>
        <v>20/21</v>
      </c>
      <c r="S137" s="2" t="str">
        <f t="shared" si="10"/>
        <v>1435</v>
      </c>
      <c r="T137" s="48">
        <v>7006</v>
      </c>
      <c r="U137" s="48"/>
      <c r="X137" s="21">
        <f>N137</f>
        <v>0</v>
      </c>
      <c r="Y137" s="50" t="s">
        <v>68</v>
      </c>
    </row>
    <row r="138" spans="1:25" ht="16.5" customHeight="1">
      <c r="A138" s="66" t="s">
        <v>69</v>
      </c>
      <c r="B138" s="68">
        <f>SUM('GTA_-_NR_FB (relatório para o D'!O118)</f>
        <v>731</v>
      </c>
      <c r="C138" s="68">
        <f>SUM('GTA_-_NR_FB (relatório para o D'!P118)</f>
        <v>292.8</v>
      </c>
      <c r="D138" s="34"/>
      <c r="E138" s="68">
        <v>230</v>
      </c>
      <c r="F138" s="68">
        <v>210</v>
      </c>
      <c r="G138" s="71"/>
      <c r="H138" s="69">
        <f>IF(B138="","",((E138*B138+F138*C138)/SUM(B138:C138)))</f>
        <v>224.280132838445</v>
      </c>
      <c r="I138" s="2"/>
      <c r="J138" s="66" t="s">
        <v>69</v>
      </c>
      <c r="K138" s="68">
        <f>SUM('GTA_-_NR_FB (relatório para o D'!O125)</f>
        <v>1764</v>
      </c>
      <c r="L138" s="68">
        <f>SUM('GTA_-_NR_FB (relatório para o D'!P125)</f>
        <v>2777.6000000000004</v>
      </c>
      <c r="M138" s="72">
        <f>SUM('GTA_-_NR_FB (relatório para o D'!Q125)</f>
        <v>102.19999999999999</v>
      </c>
      <c r="N138" s="73"/>
      <c r="O138" s="73"/>
      <c r="P138" s="73"/>
      <c r="R138" s="7" t="str">
        <f t="shared" si="11"/>
        <v>20/21</v>
      </c>
      <c r="S138" s="2" t="str">
        <f t="shared" si="10"/>
        <v>1435</v>
      </c>
      <c r="T138" s="48">
        <v>7007</v>
      </c>
      <c r="U138" s="48"/>
      <c r="X138" s="21">
        <f>O137</f>
        <v>0</v>
      </c>
      <c r="Y138" s="50" t="s">
        <v>70</v>
      </c>
    </row>
    <row r="139" spans="1:25" ht="18" customHeight="1">
      <c r="A139" s="35" t="s">
        <v>71</v>
      </c>
      <c r="B139" s="74">
        <f>IF(B131="","",(B138+B137)/B131)</f>
        <v>0.05683208701563562</v>
      </c>
      <c r="C139" s="74">
        <f>IF(B131="","",(C138+C137)/B131)</f>
        <v>0.03367323815998187</v>
      </c>
      <c r="D139" s="74">
        <f>IF(B131="","",(D138+D137)/B131)</f>
        <v>0</v>
      </c>
      <c r="E139" s="297" t="str">
        <f>IF(B131="","",IF(B139+C139+D139&gt;Bovinos_e_Comerc!$AD$5," -&gt; índices (somados) acima da média",IF(B139+C139+D139&lt;Bovinos_e_Comerc!$AD$4," -&gt; índices (somados) abaixo da média","")))</f>
        <v> -&gt; índices (somados) abaixo da média</v>
      </c>
      <c r="F139" s="297"/>
      <c r="G139" s="297"/>
      <c r="H139" s="297"/>
      <c r="I139" s="2"/>
      <c r="J139" s="35" t="s">
        <v>71</v>
      </c>
      <c r="K139" s="75">
        <f>IF(B131="","-",(K138+K137)/B131)</f>
        <v>0.1783367323815998</v>
      </c>
      <c r="L139" s="75">
        <f>IF(B131="","-",(L138+L137)/B131)</f>
        <v>0.1827826875141627</v>
      </c>
      <c r="M139" s="75">
        <f>IF(B131="","-",(M138+M137+O137+N137+P137)/B131)</f>
        <v>0.005266258780874688</v>
      </c>
      <c r="N139" s="298" t="str">
        <f>IF(AND(K139="-",L139="-",M139="-"),"",IF(K139&gt;Bovinos_e_Comerc!$AA$5," -&gt; índice(s) fora da faixa média",IF(K139&lt;Bovinos_e_Comerc!$AA$4," -&gt; índice(s) fora da faixa média",IF(L139&gt;Bovinos_e_Comerc!$AB$5," -&gt; índice(s) fora da faixa média",IF(L139&lt;Bovinos_e_Comerc!$AB$4," -&gt; índice(s) fora da faixa média",IF(M139&gt;Bovinos_e_Comerc!$AC$5," -&gt; índice(s) fora da faixa média",IF(M139&lt;Bovinos_e_Comerc!$AC$4," -&gt; índice(s) fora da faixa média","")))))))</f>
        <v> -&gt; índice(s) fora da faixa média</v>
      </c>
      <c r="O139" s="298"/>
      <c r="P139" s="298"/>
      <c r="R139" s="7" t="str">
        <f t="shared" si="11"/>
        <v>20/21</v>
      </c>
      <c r="S139" s="2" t="str">
        <f t="shared" si="10"/>
        <v>1435</v>
      </c>
      <c r="T139" s="48">
        <v>7008</v>
      </c>
      <c r="U139" s="48"/>
      <c r="X139" s="21">
        <f>P137</f>
        <v>0</v>
      </c>
      <c r="Y139" s="50" t="s">
        <v>72</v>
      </c>
    </row>
    <row r="140" spans="1:25" ht="7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R140" s="7" t="str">
        <f t="shared" si="11"/>
        <v>20/21</v>
      </c>
      <c r="S140" s="2" t="str">
        <f t="shared" si="10"/>
        <v>1435</v>
      </c>
      <c r="T140" s="21" t="s">
        <v>73</v>
      </c>
      <c r="U140" s="21"/>
      <c r="X140" s="21">
        <f>+M137</f>
        <v>14</v>
      </c>
      <c r="Y140" s="23" t="s">
        <v>74</v>
      </c>
    </row>
    <row r="141" spans="1:25" ht="7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R141" s="7" t="str">
        <f t="shared" si="11"/>
        <v>20/21</v>
      </c>
      <c r="S141" s="2" t="str">
        <f t="shared" si="10"/>
        <v>1435</v>
      </c>
      <c r="T141" s="21" t="s">
        <v>75</v>
      </c>
      <c r="U141" s="21">
        <f>+H131</f>
        <v>10046</v>
      </c>
      <c r="X141" s="21"/>
      <c r="Y141" s="23" t="s">
        <v>76</v>
      </c>
    </row>
    <row r="142" spans="1:25" ht="16.5" customHeight="1">
      <c r="A142" s="20" t="s">
        <v>18</v>
      </c>
      <c r="B142" s="20" t="s">
        <v>93</v>
      </c>
      <c r="C142" s="20" t="s">
        <v>94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R142" s="7" t="str">
        <f t="shared" si="11"/>
        <v>20/21</v>
      </c>
      <c r="S142" s="2" t="str">
        <f>+B142</f>
        <v>1540</v>
      </c>
      <c r="T142" s="21">
        <v>7014</v>
      </c>
      <c r="U142" s="21"/>
      <c r="V142" s="2">
        <f>J146</f>
        <v>45088.335</v>
      </c>
      <c r="Y142" s="23" t="s">
        <v>21</v>
      </c>
    </row>
    <row r="143" spans="1:25" ht="6" customHeight="1">
      <c r="A143" s="25"/>
      <c r="B143" s="26"/>
      <c r="C143" s="27"/>
      <c r="D143" s="27"/>
      <c r="E143" s="27"/>
      <c r="F143" s="27"/>
      <c r="G143" s="2"/>
      <c r="H143" s="2"/>
      <c r="I143" s="28"/>
      <c r="J143" s="2"/>
      <c r="K143" s="2"/>
      <c r="L143" s="29"/>
      <c r="M143" s="2"/>
      <c r="N143" s="2"/>
      <c r="O143" s="2"/>
      <c r="P143" s="2"/>
      <c r="R143" s="7" t="str">
        <f t="shared" si="11"/>
        <v>20/21</v>
      </c>
      <c r="S143" s="2" t="str">
        <f aca="true" t="shared" si="12" ref="S143:S156">+S142</f>
        <v>1540</v>
      </c>
      <c r="V143" s="13">
        <f>M146</f>
        <v>22774</v>
      </c>
      <c r="Y143" s="2" t="s">
        <v>22</v>
      </c>
    </row>
    <row r="144" spans="1:25" ht="11.25" customHeight="1">
      <c r="A144" s="34"/>
      <c r="B144" s="299" t="s">
        <v>26</v>
      </c>
      <c r="C144" s="307" t="s">
        <v>27</v>
      </c>
      <c r="D144" s="307"/>
      <c r="E144" s="307" t="s">
        <v>28</v>
      </c>
      <c r="F144" s="307"/>
      <c r="G144" s="34"/>
      <c r="H144" s="307" t="s">
        <v>29</v>
      </c>
      <c r="I144" s="2"/>
      <c r="J144" s="303" t="s">
        <v>30</v>
      </c>
      <c r="K144" s="308"/>
      <c r="L144" s="308"/>
      <c r="M144" s="303" t="s">
        <v>31</v>
      </c>
      <c r="N144" s="36"/>
      <c r="O144" s="2"/>
      <c r="P144" s="303" t="s">
        <v>32</v>
      </c>
      <c r="R144" s="7" t="str">
        <f t="shared" si="11"/>
        <v>20/21</v>
      </c>
      <c r="S144" s="2" t="str">
        <f t="shared" si="12"/>
        <v>1540</v>
      </c>
      <c r="T144" s="21" t="s">
        <v>33</v>
      </c>
      <c r="U144" s="21"/>
      <c r="V144" s="21">
        <f>+B146</f>
        <v>18733</v>
      </c>
      <c r="W144" s="37">
        <f>+H152</f>
        <v>240.04004576659037</v>
      </c>
      <c r="X144" s="21">
        <f>B152+C152</f>
        <v>1398.4</v>
      </c>
      <c r="Y144" s="23" t="s">
        <v>34</v>
      </c>
    </row>
    <row r="145" spans="1:25" ht="12" customHeight="1">
      <c r="A145" s="34"/>
      <c r="B145" s="299"/>
      <c r="C145" s="38" t="s">
        <v>36</v>
      </c>
      <c r="D145" s="38" t="s">
        <v>37</v>
      </c>
      <c r="E145" s="38" t="s">
        <v>36</v>
      </c>
      <c r="F145" s="38" t="s">
        <v>37</v>
      </c>
      <c r="G145" s="34"/>
      <c r="H145" s="307"/>
      <c r="I145" s="2"/>
      <c r="J145" s="303"/>
      <c r="K145" s="308"/>
      <c r="L145" s="308"/>
      <c r="M145" s="308"/>
      <c r="N145" s="36"/>
      <c r="O145" s="2"/>
      <c r="P145" s="303"/>
      <c r="R145" s="7" t="str">
        <f t="shared" si="11"/>
        <v>20/21</v>
      </c>
      <c r="S145" s="2" t="str">
        <f t="shared" si="12"/>
        <v>1540</v>
      </c>
      <c r="T145" s="21" t="s">
        <v>38</v>
      </c>
      <c r="U145" s="21"/>
      <c r="V145" s="76"/>
      <c r="W145" s="37">
        <f>H153</f>
        <v>224.2952763434691</v>
      </c>
      <c r="X145" s="21">
        <f>B153+C153</f>
        <v>2091.6</v>
      </c>
      <c r="Y145" s="23" t="s">
        <v>39</v>
      </c>
    </row>
    <row r="146" spans="1:25" ht="16.5" customHeight="1">
      <c r="A146" s="299" t="s">
        <v>40</v>
      </c>
      <c r="B146" s="304">
        <f>SUM(Reb__Est__por_faixa_etária!O14)</f>
        <v>18733</v>
      </c>
      <c r="C146" s="40">
        <f>'Leite_-_Produção'!Y17</f>
        <v>0.10943255218064378</v>
      </c>
      <c r="D146" s="40">
        <f>100%-(C146+E146+F146)</f>
        <v>0.7505674478193562</v>
      </c>
      <c r="E146" s="41">
        <v>0.036000000000000004</v>
      </c>
      <c r="F146" s="41">
        <v>0.10400000000000001</v>
      </c>
      <c r="G146" s="34" t="str">
        <f>IF(SUM(C147:F147)=0,"",IF(SUM(C146:F146)&lt;1,"&lt;100%",IF(SUM(C146:F146)&gt;1,"&gt;100%","OK")))</f>
        <v>OK</v>
      </c>
      <c r="H146" s="42">
        <f>Reb__Est__por_faixa_etária!B39</f>
        <v>7380</v>
      </c>
      <c r="I146" s="2"/>
      <c r="J146" s="43">
        <f>'Leite_-_Produção'!R17</f>
        <v>45088.335</v>
      </c>
      <c r="K146" s="44"/>
      <c r="L146" s="305"/>
      <c r="M146" s="45">
        <f>TRUNC(((C147+E147)*Bovinos_e_Comerc!$AD$8)+D147*Bovinos_e_Comerc!$AD$9,0)</f>
        <v>22774</v>
      </c>
      <c r="N146" s="46"/>
      <c r="O146" s="2"/>
      <c r="P146" s="47">
        <f>IF(OR(H146="",B146=""),"-",(D147+F147)/H146)</f>
        <v>2.169188617886179</v>
      </c>
      <c r="R146" s="7" t="str">
        <f t="shared" si="11"/>
        <v>20/21</v>
      </c>
      <c r="S146" s="2" t="str">
        <f t="shared" si="12"/>
        <v>1540</v>
      </c>
      <c r="T146" s="48">
        <v>7590</v>
      </c>
      <c r="U146" s="48"/>
      <c r="V146" s="76"/>
      <c r="W146" s="49">
        <f>+G152</f>
        <v>0</v>
      </c>
      <c r="X146" s="21">
        <f>D152</f>
        <v>0</v>
      </c>
      <c r="Y146" s="50" t="s">
        <v>41</v>
      </c>
    </row>
    <row r="147" spans="1:25" ht="16.5" customHeight="1">
      <c r="A147" s="299"/>
      <c r="B147" s="304"/>
      <c r="C147" s="53">
        <f>+C146*B146</f>
        <v>2050</v>
      </c>
      <c r="D147" s="53">
        <f>+D146*B146</f>
        <v>14060.380000000001</v>
      </c>
      <c r="E147" s="53">
        <f>+E146*B146</f>
        <v>674.388</v>
      </c>
      <c r="F147" s="53">
        <f>+F146*B146</f>
        <v>1948.2320000000002</v>
      </c>
      <c r="G147" s="34"/>
      <c r="H147" s="34"/>
      <c r="I147" s="2"/>
      <c r="J147" s="34"/>
      <c r="K147" s="34"/>
      <c r="L147" s="305"/>
      <c r="M147" s="34"/>
      <c r="N147" s="34"/>
      <c r="O147" s="34"/>
      <c r="P147" s="34"/>
      <c r="R147" s="7" t="str">
        <f t="shared" si="11"/>
        <v>20/21</v>
      </c>
      <c r="S147" s="2" t="str">
        <f t="shared" si="12"/>
        <v>1540</v>
      </c>
      <c r="T147" s="21" t="s">
        <v>42</v>
      </c>
      <c r="U147" s="21"/>
      <c r="V147" s="76"/>
      <c r="W147" s="76"/>
      <c r="X147" s="21">
        <f>K152</f>
        <v>853</v>
      </c>
      <c r="Y147" s="23" t="s">
        <v>43</v>
      </c>
    </row>
    <row r="148" spans="1:25" ht="4.5" customHeight="1">
      <c r="A148" s="77"/>
      <c r="B148" s="78"/>
      <c r="C148" s="79"/>
      <c r="D148" s="79"/>
      <c r="E148" s="79"/>
      <c r="F148" s="79"/>
      <c r="G148" s="79"/>
      <c r="H148" s="34"/>
      <c r="I148" s="28"/>
      <c r="J148" s="34"/>
      <c r="K148" s="34"/>
      <c r="L148" s="80"/>
      <c r="M148" s="34"/>
      <c r="N148" s="34"/>
      <c r="O148" s="34"/>
      <c r="P148" s="34"/>
      <c r="R148" s="7" t="str">
        <f t="shared" si="11"/>
        <v>20/21</v>
      </c>
      <c r="S148" s="2" t="str">
        <f t="shared" si="12"/>
        <v>1540</v>
      </c>
      <c r="T148" s="21" t="s">
        <v>44</v>
      </c>
      <c r="U148" s="21"/>
      <c r="V148" s="76"/>
      <c r="W148" s="76"/>
      <c r="X148" s="21">
        <f>K153</f>
        <v>526.51</v>
      </c>
      <c r="Y148" s="23" t="s">
        <v>45</v>
      </c>
    </row>
    <row r="149" spans="1:25" ht="16.5" customHeight="1">
      <c r="A149" s="301" t="s">
        <v>46</v>
      </c>
      <c r="B149" s="306" t="s">
        <v>47</v>
      </c>
      <c r="C149" s="306"/>
      <c r="D149" s="306"/>
      <c r="E149" s="306" t="s">
        <v>48</v>
      </c>
      <c r="F149" s="306"/>
      <c r="G149" s="306"/>
      <c r="H149" s="307" t="s">
        <v>49</v>
      </c>
      <c r="I149" s="2"/>
      <c r="J149" s="301" t="s">
        <v>46</v>
      </c>
      <c r="K149" s="306" t="s">
        <v>50</v>
      </c>
      <c r="L149" s="306"/>
      <c r="M149" s="306"/>
      <c r="N149" s="299" t="s">
        <v>51</v>
      </c>
      <c r="O149" s="299"/>
      <c r="P149" s="299"/>
      <c r="R149" s="7" t="str">
        <f t="shared" si="11"/>
        <v>20/21</v>
      </c>
      <c r="S149" s="2" t="str">
        <f t="shared" si="12"/>
        <v>1540</v>
      </c>
      <c r="T149" s="21" t="s">
        <v>52</v>
      </c>
      <c r="U149" s="21"/>
      <c r="V149" s="76"/>
      <c r="W149" s="76"/>
      <c r="X149" s="21">
        <f>L152</f>
        <v>373.5</v>
      </c>
      <c r="Y149" s="23" t="s">
        <v>53</v>
      </c>
    </row>
    <row r="150" spans="1:25" ht="16.5" customHeight="1">
      <c r="A150" s="301"/>
      <c r="B150" s="300" t="s">
        <v>54</v>
      </c>
      <c r="C150" s="300" t="s">
        <v>55</v>
      </c>
      <c r="D150" s="300" t="s">
        <v>56</v>
      </c>
      <c r="E150" s="300" t="s">
        <v>54</v>
      </c>
      <c r="F150" s="300" t="s">
        <v>55</v>
      </c>
      <c r="G150" s="300" t="s">
        <v>56</v>
      </c>
      <c r="H150" s="307"/>
      <c r="I150" s="2"/>
      <c r="J150" s="301"/>
      <c r="K150" s="302" t="s">
        <v>57</v>
      </c>
      <c r="L150" s="302" t="s">
        <v>58</v>
      </c>
      <c r="M150" s="302" t="s">
        <v>59</v>
      </c>
      <c r="N150" s="299"/>
      <c r="O150" s="299"/>
      <c r="P150" s="299"/>
      <c r="R150" s="7" t="str">
        <f t="shared" si="11"/>
        <v>20/21</v>
      </c>
      <c r="S150" s="2" t="str">
        <f t="shared" si="12"/>
        <v>1540</v>
      </c>
      <c r="T150" s="21" t="s">
        <v>60</v>
      </c>
      <c r="U150" s="21"/>
      <c r="X150" s="21">
        <f>+L153</f>
        <v>2343.45</v>
      </c>
      <c r="Y150" s="23" t="s">
        <v>61</v>
      </c>
    </row>
    <row r="151" spans="1:25" ht="18" customHeight="1">
      <c r="A151" s="301"/>
      <c r="B151" s="301"/>
      <c r="C151" s="301"/>
      <c r="D151" s="301"/>
      <c r="E151" s="301"/>
      <c r="F151" s="301"/>
      <c r="G151" s="301"/>
      <c r="H151" s="301"/>
      <c r="I151" s="2"/>
      <c r="J151" s="301"/>
      <c r="K151" s="301"/>
      <c r="L151" s="301"/>
      <c r="M151" s="301"/>
      <c r="N151" s="66" t="s">
        <v>62</v>
      </c>
      <c r="O151" s="66" t="s">
        <v>63</v>
      </c>
      <c r="P151" s="66" t="s">
        <v>64</v>
      </c>
      <c r="R151" s="7" t="str">
        <f t="shared" si="11"/>
        <v>20/21</v>
      </c>
      <c r="S151" s="2" t="str">
        <f t="shared" si="12"/>
        <v>1540</v>
      </c>
      <c r="T151" s="21" t="s">
        <v>65</v>
      </c>
      <c r="U151" s="21"/>
      <c r="X151" s="21">
        <f>+M153</f>
        <v>856.0999999999999</v>
      </c>
      <c r="Y151" s="23" t="s">
        <v>66</v>
      </c>
    </row>
    <row r="152" spans="1:25" ht="16.5" customHeight="1">
      <c r="A152" s="66" t="s">
        <v>67</v>
      </c>
      <c r="B152" s="68">
        <f>SUM('GTA_-_NR_FB (relatório para o D'!O131)</f>
        <v>468</v>
      </c>
      <c r="C152" s="68">
        <f>SUM('GTA_-_NR_FB (relatório para o D'!P131)</f>
        <v>930.4000000000001</v>
      </c>
      <c r="D152" s="68"/>
      <c r="E152" s="68">
        <v>260</v>
      </c>
      <c r="F152" s="68">
        <v>230</v>
      </c>
      <c r="G152" s="68"/>
      <c r="H152" s="69">
        <f>IF(B152="","",((E152*B152+F152*C152)/SUM(B152:C152)))</f>
        <v>240.04004576659037</v>
      </c>
      <c r="I152" s="2"/>
      <c r="J152" s="66" t="s">
        <v>67</v>
      </c>
      <c r="K152" s="68">
        <f>SUM('GTA_-_NR_FB (relatório para o D'!O138)</f>
        <v>853</v>
      </c>
      <c r="L152" s="68">
        <f>SUM('GTA_-_NR_FB (relatório para o D'!P138)</f>
        <v>373.5</v>
      </c>
      <c r="M152" s="68">
        <f>SUM('GTA_-_NR_FB (relatório para o D'!Q138)</f>
        <v>10.4</v>
      </c>
      <c r="N152" s="68"/>
      <c r="O152" s="68"/>
      <c r="P152" s="68"/>
      <c r="R152" s="7" t="str">
        <f t="shared" si="11"/>
        <v>20/21</v>
      </c>
      <c r="S152" s="2" t="str">
        <f t="shared" si="12"/>
        <v>1540</v>
      </c>
      <c r="T152" s="48">
        <v>7006</v>
      </c>
      <c r="U152" s="48"/>
      <c r="X152" s="21">
        <f>N152</f>
        <v>0</v>
      </c>
      <c r="Y152" s="50" t="s">
        <v>68</v>
      </c>
    </row>
    <row r="153" spans="1:25" ht="16.5" customHeight="1">
      <c r="A153" s="66" t="s">
        <v>69</v>
      </c>
      <c r="B153" s="68">
        <f>SUM('GTA_-_NR_FB (relatório para o D'!O132)</f>
        <v>1495</v>
      </c>
      <c r="C153" s="68">
        <f>SUM('GTA_-_NR_FB (relatório para o D'!P132)</f>
        <v>596.6</v>
      </c>
      <c r="D153" s="34"/>
      <c r="E153" s="68">
        <v>230</v>
      </c>
      <c r="F153" s="68">
        <v>210</v>
      </c>
      <c r="G153" s="71"/>
      <c r="H153" s="69">
        <f>IF(B153="","",((E153*B153+F153*C153)/SUM(B153:C153)))</f>
        <v>224.2952763434691</v>
      </c>
      <c r="I153" s="2"/>
      <c r="J153" s="66" t="s">
        <v>69</v>
      </c>
      <c r="K153" s="68">
        <f>SUM('GTA_-_NR_FB (relatório para o D'!O139)</f>
        <v>526.51</v>
      </c>
      <c r="L153" s="68">
        <f>SUM('GTA_-_NR_FB (relatório para o D'!P139)</f>
        <v>2343.45</v>
      </c>
      <c r="M153" s="72">
        <f>SUM('GTA_-_NR_FB (relatório para o D'!Q139)</f>
        <v>856.0999999999999</v>
      </c>
      <c r="N153" s="73"/>
      <c r="O153" s="73"/>
      <c r="P153" s="73"/>
      <c r="R153" s="7" t="str">
        <f t="shared" si="11"/>
        <v>20/21</v>
      </c>
      <c r="S153" s="2" t="str">
        <f t="shared" si="12"/>
        <v>1540</v>
      </c>
      <c r="T153" s="48">
        <v>7007</v>
      </c>
      <c r="U153" s="48"/>
      <c r="X153" s="21">
        <f>O152</f>
        <v>0</v>
      </c>
      <c r="Y153" s="50" t="s">
        <v>70</v>
      </c>
    </row>
    <row r="154" spans="1:25" ht="18" customHeight="1">
      <c r="A154" s="35" t="s">
        <v>71</v>
      </c>
      <c r="B154" s="74">
        <f>IF(B146="","",(B153+B152)/B146)</f>
        <v>0.10478834142956281</v>
      </c>
      <c r="C154" s="74">
        <f>IF(B146="","",(C153+C152)/B146)</f>
        <v>0.08151390594138685</v>
      </c>
      <c r="D154" s="74">
        <f>IF(B146="","",(D153+D152)/B146)</f>
        <v>0</v>
      </c>
      <c r="E154" s="297">
        <f>IF(B146="","",IF(B154+C154+D154&gt;Bovinos_e_Comerc!$AD$5," -&gt; índices (somados) acima da média",IF(B154+C154+D154&lt;Bovinos_e_Comerc!$AD$4," -&gt; índices (somados) abaixo da média","")))</f>
      </c>
      <c r="F154" s="297"/>
      <c r="G154" s="297"/>
      <c r="H154" s="297"/>
      <c r="I154" s="2"/>
      <c r="J154" s="35" t="s">
        <v>71</v>
      </c>
      <c r="K154" s="75">
        <f>IF(B146="","-",(K153+K152)/B146)</f>
        <v>0.07364063417498531</v>
      </c>
      <c r="L154" s="75">
        <f>IF(B146="","-",(L153+L152)/B146)</f>
        <v>0.14503549885229275</v>
      </c>
      <c r="M154" s="75">
        <f>IF(B146="","-",(M153+M152+O152+N152+P152)/B146)</f>
        <v>0.046255271446111135</v>
      </c>
      <c r="N154" s="298">
        <f>IF(AND(K154="-",L154="-",M154="-"),"",IF(K154&gt;Bovinos_e_Comerc!$AA$5," -&gt; índice(s) fora da faixa média",IF(K154&lt;Bovinos_e_Comerc!$AA$4," -&gt; índice(s) fora da faixa média",IF(L154&gt;Bovinos_e_Comerc!$AB$5," -&gt; índice(s) fora da faixa média",IF(L154&lt;Bovinos_e_Comerc!$AB$4," -&gt; índice(s) fora da faixa média",IF(M154&gt;Bovinos_e_Comerc!$AC$5," -&gt; índice(s) fora da faixa média",IF(M154&lt;Bovinos_e_Comerc!$AC$4," -&gt; índice(s) fora da faixa média","")))))))</f>
      </c>
      <c r="O154" s="298"/>
      <c r="P154" s="298"/>
      <c r="R154" s="7" t="str">
        <f t="shared" si="11"/>
        <v>20/21</v>
      </c>
      <c r="S154" s="2" t="str">
        <f t="shared" si="12"/>
        <v>1540</v>
      </c>
      <c r="T154" s="48">
        <v>7008</v>
      </c>
      <c r="U154" s="48"/>
      <c r="X154" s="21">
        <f>P152</f>
        <v>0</v>
      </c>
      <c r="Y154" s="50" t="s">
        <v>72</v>
      </c>
    </row>
    <row r="155" spans="1:25" ht="7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R155" s="7" t="str">
        <f t="shared" si="11"/>
        <v>20/21</v>
      </c>
      <c r="S155" s="2" t="str">
        <f t="shared" si="12"/>
        <v>1540</v>
      </c>
      <c r="T155" s="21" t="s">
        <v>73</v>
      </c>
      <c r="U155" s="21"/>
      <c r="W155" s="18"/>
      <c r="X155" s="21">
        <f>+M152</f>
        <v>10.4</v>
      </c>
      <c r="Y155" s="23" t="s">
        <v>74</v>
      </c>
    </row>
    <row r="156" spans="1:25" ht="7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R156" s="7" t="str">
        <f t="shared" si="11"/>
        <v>20/21</v>
      </c>
      <c r="S156" s="2" t="str">
        <f t="shared" si="12"/>
        <v>1540</v>
      </c>
      <c r="T156" s="21" t="s">
        <v>75</v>
      </c>
      <c r="U156" s="21">
        <f>+H146</f>
        <v>7380</v>
      </c>
      <c r="W156" s="18"/>
      <c r="X156" s="21"/>
      <c r="Y156" s="23" t="s">
        <v>76</v>
      </c>
    </row>
    <row r="157" spans="1:25" ht="16.5" customHeight="1">
      <c r="A157" s="20" t="s">
        <v>18</v>
      </c>
      <c r="B157" s="20" t="s">
        <v>95</v>
      </c>
      <c r="C157" s="20" t="s">
        <v>96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R157" s="7" t="str">
        <f t="shared" si="11"/>
        <v>20/21</v>
      </c>
      <c r="S157" s="2" t="str">
        <f>+B157</f>
        <v>1900</v>
      </c>
      <c r="T157" s="21">
        <v>7014</v>
      </c>
      <c r="U157" s="21"/>
      <c r="V157" s="2">
        <f>J161</f>
        <v>16142.04</v>
      </c>
      <c r="Y157" s="23" t="s">
        <v>21</v>
      </c>
    </row>
    <row r="158" spans="1:25" ht="6" customHeight="1">
      <c r="A158" s="25"/>
      <c r="B158" s="26"/>
      <c r="C158" s="27"/>
      <c r="D158" s="27"/>
      <c r="E158" s="27"/>
      <c r="F158" s="27"/>
      <c r="G158" s="2"/>
      <c r="H158" s="2"/>
      <c r="I158" s="28"/>
      <c r="J158" s="2"/>
      <c r="K158" s="2"/>
      <c r="L158" s="29"/>
      <c r="M158" s="2"/>
      <c r="N158" s="2"/>
      <c r="O158" s="2"/>
      <c r="P158" s="2"/>
      <c r="R158" s="7" t="str">
        <f t="shared" si="11"/>
        <v>20/21</v>
      </c>
      <c r="S158" s="2" t="str">
        <f aca="true" t="shared" si="13" ref="S158:S171">+S157</f>
        <v>1900</v>
      </c>
      <c r="V158" s="13">
        <f>M161</f>
        <v>8649</v>
      </c>
      <c r="Y158" s="2" t="s">
        <v>22</v>
      </c>
    </row>
    <row r="159" spans="1:25" ht="11.25" customHeight="1">
      <c r="A159" s="34"/>
      <c r="B159" s="299" t="s">
        <v>26</v>
      </c>
      <c r="C159" s="307" t="s">
        <v>27</v>
      </c>
      <c r="D159" s="307"/>
      <c r="E159" s="307" t="s">
        <v>28</v>
      </c>
      <c r="F159" s="307"/>
      <c r="G159" s="34"/>
      <c r="H159" s="307" t="s">
        <v>29</v>
      </c>
      <c r="I159" s="2"/>
      <c r="J159" s="303" t="s">
        <v>30</v>
      </c>
      <c r="K159" s="308"/>
      <c r="L159" s="308"/>
      <c r="M159" s="303" t="s">
        <v>31</v>
      </c>
      <c r="N159" s="36"/>
      <c r="O159" s="2"/>
      <c r="P159" s="303" t="s">
        <v>32</v>
      </c>
      <c r="R159" s="7" t="str">
        <f t="shared" si="11"/>
        <v>20/21</v>
      </c>
      <c r="S159" s="2" t="str">
        <f t="shared" si="13"/>
        <v>1900</v>
      </c>
      <c r="T159" s="21" t="s">
        <v>33</v>
      </c>
      <c r="U159" s="21"/>
      <c r="V159" s="21">
        <f>+B161</f>
        <v>9332</v>
      </c>
      <c r="W159" s="37">
        <f>+H167</f>
        <v>235.0471063257066</v>
      </c>
      <c r="X159" s="21">
        <f>B167+C167</f>
        <v>743</v>
      </c>
      <c r="Y159" s="23" t="s">
        <v>34</v>
      </c>
    </row>
    <row r="160" spans="1:25" ht="12" customHeight="1">
      <c r="A160" s="34"/>
      <c r="B160" s="299"/>
      <c r="C160" s="38" t="s">
        <v>36</v>
      </c>
      <c r="D160" s="38" t="s">
        <v>37</v>
      </c>
      <c r="E160" s="38" t="s">
        <v>36</v>
      </c>
      <c r="F160" s="38" t="s">
        <v>37</v>
      </c>
      <c r="G160" s="34"/>
      <c r="H160" s="307"/>
      <c r="I160" s="2"/>
      <c r="J160" s="303"/>
      <c r="K160" s="308"/>
      <c r="L160" s="308"/>
      <c r="M160" s="308"/>
      <c r="N160" s="36"/>
      <c r="O160" s="2"/>
      <c r="P160" s="303"/>
      <c r="R160" s="7" t="str">
        <f t="shared" si="11"/>
        <v>20/21</v>
      </c>
      <c r="S160" s="2" t="str">
        <f t="shared" si="13"/>
        <v>1900</v>
      </c>
      <c r="T160" s="21" t="s">
        <v>38</v>
      </c>
      <c r="U160" s="21"/>
      <c r="V160" s="39"/>
      <c r="W160" s="37">
        <f>H168</f>
        <v>220.873786407767</v>
      </c>
      <c r="X160" s="21">
        <f>B168+C168</f>
        <v>824</v>
      </c>
      <c r="Y160" s="23" t="s">
        <v>39</v>
      </c>
    </row>
    <row r="161" spans="1:25" ht="16.5" customHeight="1">
      <c r="A161" s="299" t="s">
        <v>40</v>
      </c>
      <c r="B161" s="304">
        <f>SUM(Reb__Est__por_faixa_etária!O15)</f>
        <v>9332</v>
      </c>
      <c r="C161" s="40">
        <f>'Leite_-_Produção'!Y18</f>
        <v>0.04189884269181312</v>
      </c>
      <c r="D161" s="40">
        <f>100%-(C161+E161+F161)</f>
        <v>0.8481011573081869</v>
      </c>
      <c r="E161" s="41"/>
      <c r="F161" s="41">
        <v>0.11</v>
      </c>
      <c r="G161" s="34" t="str">
        <f>IF(SUM(C162:F162)=0,"",IF(SUM(C161:F161)&lt;1,"&lt;100%",IF(SUM(C161:F161)&gt;1,"&gt;100%","OK")))</f>
        <v>OK</v>
      </c>
      <c r="H161" s="42">
        <f>Reb__Est__por_faixa_etária!B40</f>
        <v>3094</v>
      </c>
      <c r="I161" s="2"/>
      <c r="J161" s="43">
        <f>'Leite_-_Produção'!R18</f>
        <v>16142.04</v>
      </c>
      <c r="K161" s="44"/>
      <c r="L161" s="305"/>
      <c r="M161" s="45">
        <f>TRUNC(((C162+E162)*Bovinos_e_Comerc!$AD$8)+D162*Bovinos_e_Comerc!$AD$9,0)</f>
        <v>8649</v>
      </c>
      <c r="N161" s="46"/>
      <c r="O161" s="2"/>
      <c r="P161" s="47">
        <f>IF(OR(H161="",B161=""),"-",(D162+F162)/H161)</f>
        <v>2.889786683904331</v>
      </c>
      <c r="R161" s="7" t="str">
        <f t="shared" si="11"/>
        <v>20/21</v>
      </c>
      <c r="S161" s="2" t="str">
        <f t="shared" si="13"/>
        <v>1900</v>
      </c>
      <c r="T161" s="48">
        <v>7590</v>
      </c>
      <c r="U161" s="48"/>
      <c r="V161" s="39"/>
      <c r="W161" s="49">
        <f>+G167</f>
        <v>0</v>
      </c>
      <c r="X161" s="21">
        <f>D167</f>
        <v>0</v>
      </c>
      <c r="Y161" s="50" t="s">
        <v>41</v>
      </c>
    </row>
    <row r="162" spans="1:25" ht="16.5" customHeight="1">
      <c r="A162" s="299"/>
      <c r="B162" s="304"/>
      <c r="C162" s="53">
        <f>+C161*B161</f>
        <v>391.00000000000006</v>
      </c>
      <c r="D162" s="53">
        <f>+D161*B161</f>
        <v>7914.4800000000005</v>
      </c>
      <c r="E162" s="53">
        <f>+E161*B161</f>
        <v>0</v>
      </c>
      <c r="F162" s="53">
        <f>+F161*B161</f>
        <v>1026.52</v>
      </c>
      <c r="G162" s="34"/>
      <c r="H162" s="34"/>
      <c r="I162" s="2"/>
      <c r="J162" s="34"/>
      <c r="K162" s="34"/>
      <c r="L162" s="305"/>
      <c r="M162" s="34"/>
      <c r="N162" s="34"/>
      <c r="O162" s="34"/>
      <c r="P162" s="34"/>
      <c r="R162" s="7" t="str">
        <f t="shared" si="11"/>
        <v>20/21</v>
      </c>
      <c r="S162" s="2" t="str">
        <f t="shared" si="13"/>
        <v>1900</v>
      </c>
      <c r="T162" s="21" t="s">
        <v>42</v>
      </c>
      <c r="U162" s="21"/>
      <c r="V162" s="39"/>
      <c r="W162" s="39"/>
      <c r="X162" s="21">
        <f>K167</f>
        <v>465.12</v>
      </c>
      <c r="Y162" s="23" t="s">
        <v>43</v>
      </c>
    </row>
    <row r="163" spans="1:25" ht="4.5" customHeight="1">
      <c r="A163" s="77"/>
      <c r="B163" s="78"/>
      <c r="C163" s="79"/>
      <c r="D163" s="79"/>
      <c r="E163" s="79"/>
      <c r="F163" s="79"/>
      <c r="G163" s="79"/>
      <c r="H163" s="34"/>
      <c r="I163" s="28"/>
      <c r="J163" s="34"/>
      <c r="K163" s="34"/>
      <c r="L163" s="80"/>
      <c r="M163" s="34"/>
      <c r="N163" s="34"/>
      <c r="O163" s="34"/>
      <c r="P163" s="34"/>
      <c r="R163" s="7" t="str">
        <f t="shared" si="11"/>
        <v>20/21</v>
      </c>
      <c r="S163" s="2" t="str">
        <f t="shared" si="13"/>
        <v>1900</v>
      </c>
      <c r="T163" s="21" t="s">
        <v>44</v>
      </c>
      <c r="U163" s="21"/>
      <c r="V163" s="39"/>
      <c r="W163" s="39"/>
      <c r="X163" s="21">
        <f>K168</f>
        <v>440.29999999999995</v>
      </c>
      <c r="Y163" s="23" t="s">
        <v>45</v>
      </c>
    </row>
    <row r="164" spans="1:25" ht="16.5" customHeight="1">
      <c r="A164" s="301" t="s">
        <v>46</v>
      </c>
      <c r="B164" s="306" t="s">
        <v>47</v>
      </c>
      <c r="C164" s="306"/>
      <c r="D164" s="306"/>
      <c r="E164" s="306" t="s">
        <v>48</v>
      </c>
      <c r="F164" s="306"/>
      <c r="G164" s="306"/>
      <c r="H164" s="307" t="s">
        <v>49</v>
      </c>
      <c r="I164" s="2"/>
      <c r="J164" s="301" t="s">
        <v>46</v>
      </c>
      <c r="K164" s="306" t="s">
        <v>50</v>
      </c>
      <c r="L164" s="306"/>
      <c r="M164" s="306"/>
      <c r="N164" s="299" t="s">
        <v>51</v>
      </c>
      <c r="O164" s="299"/>
      <c r="P164" s="299"/>
      <c r="R164" s="7" t="str">
        <f t="shared" si="11"/>
        <v>20/21</v>
      </c>
      <c r="S164" s="2" t="str">
        <f t="shared" si="13"/>
        <v>1900</v>
      </c>
      <c r="T164" s="21" t="s">
        <v>52</v>
      </c>
      <c r="U164" s="21"/>
      <c r="V164" s="39"/>
      <c r="W164" s="39"/>
      <c r="X164" s="21">
        <f>L167</f>
        <v>312.84000000000003</v>
      </c>
      <c r="Y164" s="23" t="s">
        <v>53</v>
      </c>
    </row>
    <row r="165" spans="1:25" ht="16.5" customHeight="1">
      <c r="A165" s="301"/>
      <c r="B165" s="300" t="s">
        <v>54</v>
      </c>
      <c r="C165" s="300" t="s">
        <v>55</v>
      </c>
      <c r="D165" s="300" t="s">
        <v>56</v>
      </c>
      <c r="E165" s="300" t="s">
        <v>54</v>
      </c>
      <c r="F165" s="300" t="s">
        <v>55</v>
      </c>
      <c r="G165" s="300" t="s">
        <v>56</v>
      </c>
      <c r="H165" s="307"/>
      <c r="I165" s="2"/>
      <c r="J165" s="301"/>
      <c r="K165" s="302" t="s">
        <v>57</v>
      </c>
      <c r="L165" s="302" t="s">
        <v>58</v>
      </c>
      <c r="M165" s="302" t="s">
        <v>59</v>
      </c>
      <c r="N165" s="299"/>
      <c r="O165" s="299"/>
      <c r="P165" s="299"/>
      <c r="R165" s="7" t="str">
        <f t="shared" si="11"/>
        <v>20/21</v>
      </c>
      <c r="S165" s="2" t="str">
        <f t="shared" si="13"/>
        <v>1900</v>
      </c>
      <c r="T165" s="21" t="s">
        <v>60</v>
      </c>
      <c r="U165" s="21"/>
      <c r="X165" s="21">
        <f>+L168</f>
        <v>1922.4</v>
      </c>
      <c r="Y165" s="23" t="s">
        <v>61</v>
      </c>
    </row>
    <row r="166" spans="1:25" ht="18" customHeight="1">
      <c r="A166" s="301"/>
      <c r="B166" s="301"/>
      <c r="C166" s="301"/>
      <c r="D166" s="301"/>
      <c r="E166" s="301"/>
      <c r="F166" s="301"/>
      <c r="G166" s="301"/>
      <c r="H166" s="301"/>
      <c r="I166" s="2"/>
      <c r="J166" s="301"/>
      <c r="K166" s="301"/>
      <c r="L166" s="301"/>
      <c r="M166" s="301"/>
      <c r="N166" s="66" t="s">
        <v>62</v>
      </c>
      <c r="O166" s="66" t="s">
        <v>63</v>
      </c>
      <c r="P166" s="66" t="s">
        <v>64</v>
      </c>
      <c r="R166" s="7" t="str">
        <f t="shared" si="11"/>
        <v>20/21</v>
      </c>
      <c r="S166" s="2" t="str">
        <f t="shared" si="13"/>
        <v>1900</v>
      </c>
      <c r="T166" s="21" t="s">
        <v>65</v>
      </c>
      <c r="U166" s="21"/>
      <c r="X166" s="21">
        <f>+M168</f>
        <v>41.6</v>
      </c>
      <c r="Y166" s="23" t="s">
        <v>66</v>
      </c>
    </row>
    <row r="167" spans="1:25" ht="16.5" customHeight="1">
      <c r="A167" s="66" t="s">
        <v>67</v>
      </c>
      <c r="B167" s="68">
        <f>SUM('GTA_-_NR_FB (relatório para o D'!O145)</f>
        <v>125</v>
      </c>
      <c r="C167" s="68">
        <f>SUM('GTA_-_NR_FB (relatório para o D'!P145)</f>
        <v>618</v>
      </c>
      <c r="D167" s="68"/>
      <c r="E167" s="68">
        <v>260</v>
      </c>
      <c r="F167" s="68">
        <v>230</v>
      </c>
      <c r="G167" s="68"/>
      <c r="H167" s="69">
        <f>IF(B167="","",((E167*B167+F167*C167)/SUM(B167:C167)))</f>
        <v>235.0471063257066</v>
      </c>
      <c r="I167" s="2"/>
      <c r="J167" s="66" t="s">
        <v>67</v>
      </c>
      <c r="K167" s="68">
        <f>SUM('GTA_-_NR_FB (relatório para o D'!O152)</f>
        <v>465.12</v>
      </c>
      <c r="L167" s="68">
        <f>SUM('GTA_-_NR_FB (relatório para o D'!P152)</f>
        <v>312.84000000000003</v>
      </c>
      <c r="M167" s="68">
        <f>SUM('GTA_-_NR_FB (relatório para o D'!Q152)</f>
        <v>0</v>
      </c>
      <c r="N167" s="68"/>
      <c r="O167" s="68"/>
      <c r="P167" s="68"/>
      <c r="R167" s="7" t="str">
        <f t="shared" si="11"/>
        <v>20/21</v>
      </c>
      <c r="S167" s="2" t="str">
        <f t="shared" si="13"/>
        <v>1900</v>
      </c>
      <c r="T167" s="48">
        <v>7006</v>
      </c>
      <c r="U167" s="48"/>
      <c r="X167" s="21">
        <f>N167</f>
        <v>0</v>
      </c>
      <c r="Y167" s="50" t="s">
        <v>68</v>
      </c>
    </row>
    <row r="168" spans="1:25" ht="16.5" customHeight="1">
      <c r="A168" s="66" t="s">
        <v>69</v>
      </c>
      <c r="B168" s="68">
        <f>SUM('GTA_-_NR_FB (relatório para o D'!O146)</f>
        <v>448</v>
      </c>
      <c r="C168" s="68">
        <f>SUM('GTA_-_NR_FB (relatório para o D'!P146)</f>
        <v>376</v>
      </c>
      <c r="D168" s="34"/>
      <c r="E168" s="68">
        <v>230</v>
      </c>
      <c r="F168" s="68">
        <v>210</v>
      </c>
      <c r="G168" s="71"/>
      <c r="H168" s="69">
        <f>IF(B168="","",((E168*B168+F168*C168)/SUM(B168:C168)))</f>
        <v>220.873786407767</v>
      </c>
      <c r="I168" s="2"/>
      <c r="J168" s="66" t="s">
        <v>69</v>
      </c>
      <c r="K168" s="68">
        <f>SUM('GTA_-_NR_FB (relatório para o D'!O153)</f>
        <v>440.29999999999995</v>
      </c>
      <c r="L168" s="68">
        <f>SUM('GTA_-_NR_FB (relatório para o D'!P153)</f>
        <v>1922.4</v>
      </c>
      <c r="M168" s="72">
        <f>SUM('GTA_-_NR_FB (relatório para o D'!Q153)</f>
        <v>41.6</v>
      </c>
      <c r="N168" s="73"/>
      <c r="O168" s="73"/>
      <c r="P168" s="73"/>
      <c r="R168" s="7" t="str">
        <f t="shared" si="11"/>
        <v>20/21</v>
      </c>
      <c r="S168" s="2" t="str">
        <f t="shared" si="13"/>
        <v>1900</v>
      </c>
      <c r="T168" s="48">
        <v>7007</v>
      </c>
      <c r="U168" s="48"/>
      <c r="X168" s="21">
        <f>O167</f>
        <v>0</v>
      </c>
      <c r="Y168" s="50" t="s">
        <v>70</v>
      </c>
    </row>
    <row r="169" spans="1:25" ht="18" customHeight="1">
      <c r="A169" s="35" t="s">
        <v>71</v>
      </c>
      <c r="B169" s="74">
        <f>IF(B161="","",(B168+B167)/B161)</f>
        <v>0.06140162880411487</v>
      </c>
      <c r="C169" s="74">
        <f>IF(B161="","",(C168+C167)/B161)</f>
        <v>0.10651521645949422</v>
      </c>
      <c r="D169" s="74">
        <f>IF(B161="","",(D168+D167)/B161)</f>
        <v>0</v>
      </c>
      <c r="E169" s="297">
        <f>IF(B161="","",IF(B169+C169+D169&gt;Bovinos_e_Comerc!$AD$5," -&gt; índices (somados) acima da média",IF(B169+C169+D169&lt;Bovinos_e_Comerc!$AD$4," -&gt; índices (somados) abaixo da média","")))</f>
      </c>
      <c r="F169" s="297"/>
      <c r="G169" s="297"/>
      <c r="H169" s="297"/>
      <c r="I169" s="2"/>
      <c r="J169" s="35" t="s">
        <v>71</v>
      </c>
      <c r="K169" s="75">
        <f>IF(B161="","-",(K168+K167)/B161)</f>
        <v>0.09702314616373767</v>
      </c>
      <c r="L169" s="75">
        <f>IF(B161="","-",(L168+L167)/B161)</f>
        <v>0.23952421774539223</v>
      </c>
      <c r="M169" s="75">
        <f>IF(B161="","-",(M168+M167+O167+N167+P167)/B161)</f>
        <v>0.004457779682811831</v>
      </c>
      <c r="N169" s="298" t="str">
        <f>IF(AND(K169="-",L169="-",M169="-"),"",IF(K169&gt;Bovinos_e_Comerc!$AA$5," -&gt; índice(s) fora da faixa média",IF(K169&lt;Bovinos_e_Comerc!$AA$4," -&gt; índice(s) fora da faixa média",IF(L169&gt;Bovinos_e_Comerc!$AB$5," -&gt; índice(s) fora da faixa média",IF(L169&lt;Bovinos_e_Comerc!$AB$4," -&gt; índice(s) fora da faixa média",IF(M169&gt;Bovinos_e_Comerc!$AC$5," -&gt; índice(s) fora da faixa média",IF(M169&lt;Bovinos_e_Comerc!$AC$4," -&gt; índice(s) fora da faixa média","")))))))</f>
        <v> -&gt; índice(s) fora da faixa média</v>
      </c>
      <c r="O169" s="298"/>
      <c r="P169" s="298"/>
      <c r="R169" s="7" t="str">
        <f t="shared" si="11"/>
        <v>20/21</v>
      </c>
      <c r="S169" s="2" t="str">
        <f t="shared" si="13"/>
        <v>1900</v>
      </c>
      <c r="T169" s="48">
        <v>7008</v>
      </c>
      <c r="U169" s="48"/>
      <c r="X169" s="21">
        <f>P167</f>
        <v>0</v>
      </c>
      <c r="Y169" s="50" t="s">
        <v>72</v>
      </c>
    </row>
    <row r="170" spans="1:25" ht="7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R170" s="7" t="str">
        <f t="shared" si="11"/>
        <v>20/21</v>
      </c>
      <c r="S170" s="2" t="str">
        <f t="shared" si="13"/>
        <v>1900</v>
      </c>
      <c r="T170" s="21" t="s">
        <v>73</v>
      </c>
      <c r="U170" s="21"/>
      <c r="X170" s="21">
        <f>+M167</f>
        <v>0</v>
      </c>
      <c r="Y170" s="23" t="s">
        <v>74</v>
      </c>
    </row>
    <row r="171" spans="1:25" ht="7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R171" s="7" t="str">
        <f t="shared" si="11"/>
        <v>20/21</v>
      </c>
      <c r="S171" s="2" t="str">
        <f t="shared" si="13"/>
        <v>1900</v>
      </c>
      <c r="T171" s="21" t="s">
        <v>75</v>
      </c>
      <c r="U171" s="21">
        <f>+H161</f>
        <v>3094</v>
      </c>
      <c r="X171" s="21"/>
      <c r="Y171" s="23" t="s">
        <v>76</v>
      </c>
    </row>
    <row r="172" spans="1:25" ht="16.5" customHeight="1">
      <c r="A172" s="20" t="s">
        <v>18</v>
      </c>
      <c r="B172" s="20" t="s">
        <v>97</v>
      </c>
      <c r="C172" s="20" t="s">
        <v>98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R172" s="7" t="str">
        <f t="shared" si="11"/>
        <v>20/21</v>
      </c>
      <c r="S172" s="2" t="str">
        <f>+B172</f>
        <v>1925</v>
      </c>
      <c r="T172" s="21">
        <v>7014</v>
      </c>
      <c r="U172" s="21"/>
      <c r="V172" s="2">
        <f>J176</f>
        <v>10343.021</v>
      </c>
      <c r="Y172" s="23" t="s">
        <v>21</v>
      </c>
    </row>
    <row r="173" spans="1:25" ht="6" customHeight="1">
      <c r="A173" s="25"/>
      <c r="B173" s="26"/>
      <c r="C173" s="27"/>
      <c r="D173" s="27"/>
      <c r="E173" s="27"/>
      <c r="F173" s="27"/>
      <c r="G173" s="2"/>
      <c r="H173" s="2"/>
      <c r="I173" s="28"/>
      <c r="J173" s="2"/>
      <c r="K173" s="2"/>
      <c r="L173" s="29"/>
      <c r="M173" s="2"/>
      <c r="N173" s="2"/>
      <c r="O173" s="2"/>
      <c r="P173" s="2"/>
      <c r="R173" s="7" t="str">
        <f t="shared" si="11"/>
        <v>20/21</v>
      </c>
      <c r="S173" s="2" t="str">
        <f aca="true" t="shared" si="14" ref="S173:S186">+S172</f>
        <v>1925</v>
      </c>
      <c r="V173" s="13">
        <f>M176</f>
        <v>9349</v>
      </c>
      <c r="Y173" s="2" t="s">
        <v>22</v>
      </c>
    </row>
    <row r="174" spans="1:25" ht="11.25" customHeight="1">
      <c r="A174" s="34"/>
      <c r="B174" s="299" t="s">
        <v>26</v>
      </c>
      <c r="C174" s="307" t="s">
        <v>27</v>
      </c>
      <c r="D174" s="307"/>
      <c r="E174" s="307" t="s">
        <v>28</v>
      </c>
      <c r="F174" s="307"/>
      <c r="G174" s="34"/>
      <c r="H174" s="307" t="s">
        <v>29</v>
      </c>
      <c r="I174" s="2"/>
      <c r="J174" s="303" t="s">
        <v>30</v>
      </c>
      <c r="K174" s="308"/>
      <c r="L174" s="308"/>
      <c r="M174" s="303" t="s">
        <v>31</v>
      </c>
      <c r="N174" s="36"/>
      <c r="O174" s="2"/>
      <c r="P174" s="303" t="s">
        <v>32</v>
      </c>
      <c r="R174" s="7" t="str">
        <f t="shared" si="11"/>
        <v>20/21</v>
      </c>
      <c r="S174" s="2" t="str">
        <f t="shared" si="14"/>
        <v>1925</v>
      </c>
      <c r="T174" s="21" t="s">
        <v>33</v>
      </c>
      <c r="U174" s="21"/>
      <c r="V174" s="21">
        <f>+B176</f>
        <v>11872</v>
      </c>
      <c r="W174" s="37">
        <f>+H182</f>
        <v>234.92323980942297</v>
      </c>
      <c r="X174" s="21">
        <f>B182+C182</f>
        <v>755.6</v>
      </c>
      <c r="Y174" s="23" t="s">
        <v>34</v>
      </c>
    </row>
    <row r="175" spans="1:25" ht="12" customHeight="1">
      <c r="A175" s="34"/>
      <c r="B175" s="299"/>
      <c r="C175" s="38" t="s">
        <v>36</v>
      </c>
      <c r="D175" s="38" t="s">
        <v>37</v>
      </c>
      <c r="E175" s="38" t="s">
        <v>36</v>
      </c>
      <c r="F175" s="38" t="s">
        <v>37</v>
      </c>
      <c r="G175" s="34"/>
      <c r="H175" s="307"/>
      <c r="I175" s="2"/>
      <c r="J175" s="303"/>
      <c r="K175" s="308"/>
      <c r="L175" s="308"/>
      <c r="M175" s="308"/>
      <c r="N175" s="36"/>
      <c r="O175" s="2"/>
      <c r="P175" s="303"/>
      <c r="R175" s="7" t="str">
        <f t="shared" si="11"/>
        <v>20/21</v>
      </c>
      <c r="S175" s="2" t="str">
        <f t="shared" si="14"/>
        <v>1925</v>
      </c>
      <c r="T175" s="21" t="s">
        <v>38</v>
      </c>
      <c r="U175" s="21"/>
      <c r="V175" s="76"/>
      <c r="W175" s="37">
        <f>H183</f>
        <v>224.0769944341373</v>
      </c>
      <c r="X175" s="21">
        <f>B183+C183</f>
        <v>862.4</v>
      </c>
      <c r="Y175" s="23" t="s">
        <v>39</v>
      </c>
    </row>
    <row r="176" spans="1:25" ht="16.5" customHeight="1">
      <c r="A176" s="299" t="s">
        <v>40</v>
      </c>
      <c r="B176" s="304">
        <f>SUM(Reb__Est__por_faixa_etária!O16)</f>
        <v>11872</v>
      </c>
      <c r="C176" s="40">
        <f>'Leite_-_Produção'!Y19</f>
        <v>0.01768867924528302</v>
      </c>
      <c r="D176" s="40">
        <f>100%-(C176+E176+F176)</f>
        <v>0.632311320754717</v>
      </c>
      <c r="E176" s="41">
        <v>0.04</v>
      </c>
      <c r="F176" s="41">
        <v>0.31</v>
      </c>
      <c r="G176" s="34" t="str">
        <f>IF(SUM(C177:F177)=0,"",IF(SUM(C176:F176)&lt;1,"&lt;100%",IF(SUM(C176:F176)&gt;1,"&gt;100%","OK")))</f>
        <v>OK</v>
      </c>
      <c r="H176" s="42">
        <f>Reb__Est__por_faixa_etária!B41</f>
        <v>4360</v>
      </c>
      <c r="I176" s="2"/>
      <c r="J176" s="43">
        <f>'Leite_-_Produção'!R19</f>
        <v>10343.021</v>
      </c>
      <c r="K176" s="44"/>
      <c r="L176" s="305"/>
      <c r="M176" s="45">
        <f>TRUNC(((C177+E177)*Bovinos_e_Comerc!$AD$8)+D177*Bovinos_e_Comerc!$AD$9,0)</f>
        <v>9349</v>
      </c>
      <c r="N176" s="46"/>
      <c r="O176" s="2"/>
      <c r="P176" s="47">
        <f>IF(OR(H176="",B176=""),"-",(D177+F177)/H176)</f>
        <v>2.5658532110091743</v>
      </c>
      <c r="R176" s="7" t="str">
        <f t="shared" si="11"/>
        <v>20/21</v>
      </c>
      <c r="S176" s="2" t="str">
        <f t="shared" si="14"/>
        <v>1925</v>
      </c>
      <c r="T176" s="48">
        <v>7590</v>
      </c>
      <c r="U176" s="48"/>
      <c r="V176" s="76"/>
      <c r="W176" s="49">
        <f>+G182</f>
        <v>0</v>
      </c>
      <c r="X176" s="21">
        <f>D182</f>
        <v>0</v>
      </c>
      <c r="Y176" s="50" t="s">
        <v>41</v>
      </c>
    </row>
    <row r="177" spans="1:25" ht="16.5" customHeight="1">
      <c r="A177" s="299"/>
      <c r="B177" s="304"/>
      <c r="C177" s="53">
        <f>+C176*B176</f>
        <v>210</v>
      </c>
      <c r="D177" s="53">
        <f>+D176*B176</f>
        <v>7506.8</v>
      </c>
      <c r="E177" s="53">
        <f>+E176*B176</f>
        <v>474.88</v>
      </c>
      <c r="F177" s="53">
        <f>+F176*B176</f>
        <v>3680.32</v>
      </c>
      <c r="G177" s="34"/>
      <c r="H177" s="34"/>
      <c r="I177" s="2"/>
      <c r="J177" s="34"/>
      <c r="K177" s="34"/>
      <c r="L177" s="305"/>
      <c r="M177" s="34"/>
      <c r="N177" s="34"/>
      <c r="O177" s="34" t="s">
        <v>99</v>
      </c>
      <c r="P177" s="34"/>
      <c r="R177" s="7" t="str">
        <f t="shared" si="11"/>
        <v>20/21</v>
      </c>
      <c r="S177" s="2" t="str">
        <f t="shared" si="14"/>
        <v>1925</v>
      </c>
      <c r="T177" s="21" t="s">
        <v>42</v>
      </c>
      <c r="U177" s="21"/>
      <c r="V177" s="76"/>
      <c r="W177" s="76"/>
      <c r="X177" s="21">
        <f>K182</f>
        <v>1248.65</v>
      </c>
      <c r="Y177" s="23" t="s">
        <v>43</v>
      </c>
    </row>
    <row r="178" spans="1:25" ht="4.5" customHeight="1">
      <c r="A178" s="77"/>
      <c r="B178" s="78"/>
      <c r="C178" s="79"/>
      <c r="D178" s="79"/>
      <c r="E178" s="79"/>
      <c r="F178" s="79"/>
      <c r="G178" s="79"/>
      <c r="H178" s="34"/>
      <c r="I178" s="28"/>
      <c r="J178" s="34"/>
      <c r="K178" s="34"/>
      <c r="L178" s="80"/>
      <c r="M178" s="34"/>
      <c r="N178" s="34"/>
      <c r="O178" s="34"/>
      <c r="P178" s="34"/>
      <c r="R178" s="7" t="str">
        <f t="shared" si="11"/>
        <v>20/21</v>
      </c>
      <c r="S178" s="2" t="str">
        <f t="shared" si="14"/>
        <v>1925</v>
      </c>
      <c r="T178" s="21" t="s">
        <v>44</v>
      </c>
      <c r="U178" s="21"/>
      <c r="V178" s="76"/>
      <c r="W178" s="76"/>
      <c r="X178" s="21">
        <f>K183</f>
        <v>1333.6000000000001</v>
      </c>
      <c r="Y178" s="23" t="s">
        <v>45</v>
      </c>
    </row>
    <row r="179" spans="1:25" ht="16.5" customHeight="1">
      <c r="A179" s="301" t="s">
        <v>46</v>
      </c>
      <c r="B179" s="306" t="s">
        <v>47</v>
      </c>
      <c r="C179" s="306"/>
      <c r="D179" s="306"/>
      <c r="E179" s="306" t="s">
        <v>48</v>
      </c>
      <c r="F179" s="306"/>
      <c r="G179" s="306"/>
      <c r="H179" s="307" t="s">
        <v>49</v>
      </c>
      <c r="I179" s="2"/>
      <c r="J179" s="301" t="s">
        <v>46</v>
      </c>
      <c r="K179" s="306" t="s">
        <v>50</v>
      </c>
      <c r="L179" s="306"/>
      <c r="M179" s="306"/>
      <c r="N179" s="299" t="s">
        <v>51</v>
      </c>
      <c r="O179" s="299"/>
      <c r="P179" s="299"/>
      <c r="R179" s="7" t="str">
        <f t="shared" si="11"/>
        <v>20/21</v>
      </c>
      <c r="S179" s="2" t="str">
        <f t="shared" si="14"/>
        <v>1925</v>
      </c>
      <c r="T179" s="21" t="s">
        <v>52</v>
      </c>
      <c r="U179" s="21"/>
      <c r="V179" s="76"/>
      <c r="W179" s="76"/>
      <c r="X179" s="21">
        <f>L182</f>
        <v>848</v>
      </c>
      <c r="Y179" s="23" t="s">
        <v>53</v>
      </c>
    </row>
    <row r="180" spans="1:25" ht="16.5" customHeight="1">
      <c r="A180" s="301"/>
      <c r="B180" s="300" t="s">
        <v>54</v>
      </c>
      <c r="C180" s="300" t="s">
        <v>55</v>
      </c>
      <c r="D180" s="300" t="s">
        <v>56</v>
      </c>
      <c r="E180" s="300" t="s">
        <v>54</v>
      </c>
      <c r="F180" s="300" t="s">
        <v>55</v>
      </c>
      <c r="G180" s="300" t="s">
        <v>56</v>
      </c>
      <c r="H180" s="307"/>
      <c r="I180" s="2"/>
      <c r="J180" s="301"/>
      <c r="K180" s="302" t="s">
        <v>57</v>
      </c>
      <c r="L180" s="302" t="s">
        <v>58</v>
      </c>
      <c r="M180" s="302" t="s">
        <v>59</v>
      </c>
      <c r="N180" s="299"/>
      <c r="O180" s="299"/>
      <c r="P180" s="299"/>
      <c r="R180" s="7" t="str">
        <f t="shared" si="11"/>
        <v>20/21</v>
      </c>
      <c r="S180" s="2" t="str">
        <f t="shared" si="14"/>
        <v>1925</v>
      </c>
      <c r="T180" s="21" t="s">
        <v>60</v>
      </c>
      <c r="U180" s="21"/>
      <c r="X180" s="21">
        <f>+L183</f>
        <v>2466.67</v>
      </c>
      <c r="Y180" s="23" t="s">
        <v>61</v>
      </c>
    </row>
    <row r="181" spans="1:25" ht="18" customHeight="1">
      <c r="A181" s="301"/>
      <c r="B181" s="301"/>
      <c r="C181" s="301"/>
      <c r="D181" s="301"/>
      <c r="E181" s="301"/>
      <c r="F181" s="301"/>
      <c r="G181" s="301"/>
      <c r="H181" s="301"/>
      <c r="I181" s="2"/>
      <c r="J181" s="301"/>
      <c r="K181" s="301"/>
      <c r="L181" s="301"/>
      <c r="M181" s="301"/>
      <c r="N181" s="66" t="s">
        <v>62</v>
      </c>
      <c r="O181" s="66" t="s">
        <v>63</v>
      </c>
      <c r="P181" s="66" t="s">
        <v>64</v>
      </c>
      <c r="R181" s="7" t="str">
        <f t="shared" si="11"/>
        <v>20/21</v>
      </c>
      <c r="S181" s="2" t="str">
        <f t="shared" si="14"/>
        <v>1925</v>
      </c>
      <c r="T181" s="21" t="s">
        <v>65</v>
      </c>
      <c r="U181" s="21"/>
      <c r="X181" s="21">
        <f>+M183</f>
        <v>932.4</v>
      </c>
      <c r="Y181" s="23" t="s">
        <v>66</v>
      </c>
    </row>
    <row r="182" spans="1:25" ht="16.5" customHeight="1">
      <c r="A182" s="66" t="s">
        <v>67</v>
      </c>
      <c r="B182" s="68">
        <f>SUM('GTA_-_NR_FB (relatório para o D'!O159)</f>
        <v>124</v>
      </c>
      <c r="C182" s="67">
        <f>SUM('GTA_-_NR_FB (relatório para o D'!P159)</f>
        <v>631.6</v>
      </c>
      <c r="D182" s="68"/>
      <c r="E182" s="68">
        <v>260</v>
      </c>
      <c r="F182" s="68">
        <v>230</v>
      </c>
      <c r="G182" s="68"/>
      <c r="H182" s="69">
        <f>IF(B182="","",((E182*B182+F182*C182)/SUM(B182:C182)))</f>
        <v>234.92323980942297</v>
      </c>
      <c r="I182" s="2"/>
      <c r="J182" s="66" t="s">
        <v>67</v>
      </c>
      <c r="K182" s="68">
        <f>SUM('GTA_-_NR_FB (relatório para o D'!O166)</f>
        <v>1248.65</v>
      </c>
      <c r="L182" s="68">
        <f>SUM('GTA_-_NR_FB (relatório para o D'!P166)</f>
        <v>848</v>
      </c>
      <c r="M182" s="68">
        <f>SUM('GTA_-_NR_FB (relatório para o D'!Q166)</f>
        <v>13.600000000000001</v>
      </c>
      <c r="N182" s="68"/>
      <c r="O182" s="68"/>
      <c r="P182" s="68"/>
      <c r="R182" s="7" t="str">
        <f t="shared" si="11"/>
        <v>20/21</v>
      </c>
      <c r="S182" s="2" t="str">
        <f t="shared" si="14"/>
        <v>1925</v>
      </c>
      <c r="T182" s="48">
        <v>7006</v>
      </c>
      <c r="U182" s="48"/>
      <c r="X182" s="21">
        <f>N182</f>
        <v>0</v>
      </c>
      <c r="Y182" s="50" t="s">
        <v>68</v>
      </c>
    </row>
    <row r="183" spans="1:25" ht="16.5" customHeight="1">
      <c r="A183" s="66" t="s">
        <v>69</v>
      </c>
      <c r="B183" s="68">
        <f>SUM('GTA_-_NR_FB (relatório para o D'!O160)</f>
        <v>607</v>
      </c>
      <c r="C183" s="67">
        <f>SUM('GTA_-_NR_FB (relatório para o D'!P160)</f>
        <v>255.4</v>
      </c>
      <c r="D183" s="34"/>
      <c r="E183" s="68">
        <v>230</v>
      </c>
      <c r="F183" s="68">
        <v>210</v>
      </c>
      <c r="G183" s="71"/>
      <c r="H183" s="69">
        <f>IF(B183="","",((E183*B183+F183*C183)/SUM(B183:C183)))</f>
        <v>224.0769944341373</v>
      </c>
      <c r="I183" s="2"/>
      <c r="J183" s="66" t="s">
        <v>69</v>
      </c>
      <c r="K183" s="68">
        <f>SUM('GTA_-_NR_FB (relatório para o D'!O167)</f>
        <v>1333.6000000000001</v>
      </c>
      <c r="L183" s="68">
        <f>SUM('GTA_-_NR_FB (relatório para o D'!P167)</f>
        <v>2466.67</v>
      </c>
      <c r="M183" s="72">
        <f>SUM('GTA_-_NR_FB (relatório para o D'!Q167)</f>
        <v>932.4</v>
      </c>
      <c r="N183" s="73"/>
      <c r="O183" s="73"/>
      <c r="P183" s="73"/>
      <c r="R183" s="7" t="str">
        <f t="shared" si="11"/>
        <v>20/21</v>
      </c>
      <c r="S183" s="2" t="str">
        <f t="shared" si="14"/>
        <v>1925</v>
      </c>
      <c r="T183" s="48">
        <v>7007</v>
      </c>
      <c r="U183" s="48"/>
      <c r="X183" s="21">
        <f>O182</f>
        <v>0</v>
      </c>
      <c r="Y183" s="50" t="s">
        <v>70</v>
      </c>
    </row>
    <row r="184" spans="1:25" ht="18" customHeight="1">
      <c r="A184" s="35" t="s">
        <v>71</v>
      </c>
      <c r="B184" s="74">
        <f>IF(B176="","",(B183+B182)/B176)</f>
        <v>0.06157345013477089</v>
      </c>
      <c r="C184" s="74">
        <f>IF(B176="","",(C183+C182)/B176)</f>
        <v>0.07471361185983827</v>
      </c>
      <c r="D184" s="74">
        <f>IF(B176="","",(D183+D182)/B176)</f>
        <v>0</v>
      </c>
      <c r="E184" s="297">
        <f>IF(B176="","",IF(B184+C184+D184&gt;Bovinos_e_Comerc!$AD$5," -&gt; índices (somados) acima da média",IF(B184+C184+D184&lt;Bovinos_e_Comerc!$AD$4," -&gt; índices (somados) abaixo da média","")))</f>
      </c>
      <c r="F184" s="297"/>
      <c r="G184" s="297"/>
      <c r="H184" s="297"/>
      <c r="I184" s="2"/>
      <c r="J184" s="35" t="s">
        <v>71</v>
      </c>
      <c r="K184" s="75">
        <f>IF(B176="","-",(K183+K182)/B176)</f>
        <v>0.2175075808625337</v>
      </c>
      <c r="L184" s="75">
        <f>IF(B176="","-",(L183+L182)/B176)</f>
        <v>0.2792006401617251</v>
      </c>
      <c r="M184" s="75">
        <f>IF(B176="","-",(M183+M182+O182+N182+P182)/B176)</f>
        <v>0.0796832884097035</v>
      </c>
      <c r="N184" s="298" t="str">
        <f>IF(AND(K184="-",L184="-",M184="-"),"",IF(K184&gt;Bovinos_e_Comerc!$AA$5," -&gt; índice(s) fora da faixa média",IF(K184&lt;Bovinos_e_Comerc!$AA$4," -&gt; índice(s) fora da faixa média",IF(L184&gt;Bovinos_e_Comerc!$AB$5," -&gt; índice(s) fora da faixa média",IF(L184&lt;Bovinos_e_Comerc!$AB$4," -&gt; índice(s) fora da faixa média",IF(M184&gt;Bovinos_e_Comerc!$AC$5," -&gt; índice(s) fora da faixa média",IF(M184&lt;Bovinos_e_Comerc!$AC$4," -&gt; índice(s) fora da faixa média","")))))))</f>
        <v> -&gt; índice(s) fora da faixa média</v>
      </c>
      <c r="O184" s="298"/>
      <c r="P184" s="298"/>
      <c r="R184" s="7" t="str">
        <f t="shared" si="11"/>
        <v>20/21</v>
      </c>
      <c r="S184" s="2" t="str">
        <f t="shared" si="14"/>
        <v>1925</v>
      </c>
      <c r="T184" s="48">
        <v>7008</v>
      </c>
      <c r="U184" s="48"/>
      <c r="X184" s="21">
        <f>P182</f>
        <v>0</v>
      </c>
      <c r="Y184" s="50" t="s">
        <v>72</v>
      </c>
    </row>
    <row r="185" spans="1:25" ht="7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R185" s="7" t="str">
        <f t="shared" si="11"/>
        <v>20/21</v>
      </c>
      <c r="S185" s="2" t="str">
        <f t="shared" si="14"/>
        <v>1925</v>
      </c>
      <c r="T185" s="21" t="s">
        <v>73</v>
      </c>
      <c r="U185" s="21"/>
      <c r="W185" s="18"/>
      <c r="X185" s="21">
        <f>+M182</f>
        <v>13.600000000000001</v>
      </c>
      <c r="Y185" s="23" t="s">
        <v>74</v>
      </c>
    </row>
    <row r="186" spans="1:25" ht="7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R186" s="7" t="str">
        <f t="shared" si="11"/>
        <v>20/21</v>
      </c>
      <c r="S186" s="2" t="str">
        <f t="shared" si="14"/>
        <v>1925</v>
      </c>
      <c r="T186" s="21" t="s">
        <v>75</v>
      </c>
      <c r="U186" s="21">
        <f>+H176</f>
        <v>4360</v>
      </c>
      <c r="W186" s="18"/>
      <c r="X186" s="21"/>
      <c r="Y186" s="23" t="s">
        <v>76</v>
      </c>
    </row>
    <row r="187" spans="1:25" ht="16.5" customHeight="1">
      <c r="A187" s="20" t="s">
        <v>18</v>
      </c>
      <c r="B187" s="20" t="s">
        <v>100</v>
      </c>
      <c r="C187" s="20" t="s">
        <v>101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R187" s="7" t="str">
        <f t="shared" si="11"/>
        <v>20/21</v>
      </c>
      <c r="S187" s="2" t="str">
        <f>+B187</f>
        <v>1980</v>
      </c>
      <c r="T187" s="21">
        <v>7014</v>
      </c>
      <c r="U187" s="21"/>
      <c r="V187" s="2">
        <f>J191</f>
        <v>44674.869</v>
      </c>
      <c r="Y187" s="23" t="s">
        <v>21</v>
      </c>
    </row>
    <row r="188" spans="1:25" ht="6" customHeight="1">
      <c r="A188" s="25"/>
      <c r="B188" s="26"/>
      <c r="C188" s="27"/>
      <c r="D188" s="27"/>
      <c r="E188" s="27"/>
      <c r="F188" s="27"/>
      <c r="G188" s="2"/>
      <c r="H188" s="2"/>
      <c r="I188" s="28"/>
      <c r="J188" s="2"/>
      <c r="K188" s="2"/>
      <c r="L188" s="29"/>
      <c r="M188" s="2"/>
      <c r="N188" s="2"/>
      <c r="O188" s="2"/>
      <c r="P188" s="2"/>
      <c r="R188" s="7" t="str">
        <f t="shared" si="11"/>
        <v>20/21</v>
      </c>
      <c r="S188" s="2" t="str">
        <f aca="true" t="shared" si="15" ref="S188:S201">+S187</f>
        <v>1980</v>
      </c>
      <c r="V188" s="13">
        <f>M191</f>
        <v>22417</v>
      </c>
      <c r="Y188" s="2" t="s">
        <v>22</v>
      </c>
    </row>
    <row r="189" spans="1:25" ht="11.25" customHeight="1">
      <c r="A189" s="34"/>
      <c r="B189" s="299" t="s">
        <v>26</v>
      </c>
      <c r="C189" s="307" t="s">
        <v>27</v>
      </c>
      <c r="D189" s="307"/>
      <c r="E189" s="307" t="s">
        <v>28</v>
      </c>
      <c r="F189" s="307"/>
      <c r="G189" s="34"/>
      <c r="H189" s="307" t="s">
        <v>29</v>
      </c>
      <c r="I189" s="2"/>
      <c r="J189" s="303" t="s">
        <v>30</v>
      </c>
      <c r="K189" s="308"/>
      <c r="L189" s="308"/>
      <c r="M189" s="303" t="s">
        <v>31</v>
      </c>
      <c r="N189" s="36"/>
      <c r="O189" s="2"/>
      <c r="P189" s="303" t="s">
        <v>32</v>
      </c>
      <c r="R189" s="7" t="str">
        <f t="shared" si="11"/>
        <v>20/21</v>
      </c>
      <c r="S189" s="2" t="str">
        <f t="shared" si="15"/>
        <v>1980</v>
      </c>
      <c r="T189" s="21" t="s">
        <v>33</v>
      </c>
      <c r="U189" s="21"/>
      <c r="V189" s="21">
        <f>+B191</f>
        <v>26185</v>
      </c>
      <c r="W189" s="37">
        <f>+H197</f>
        <v>235.00390930414386</v>
      </c>
      <c r="X189" s="21">
        <f>B197+C197</f>
        <v>1534.8000000000002</v>
      </c>
      <c r="Y189" s="23" t="s">
        <v>34</v>
      </c>
    </row>
    <row r="190" spans="1:25" ht="12" customHeight="1">
      <c r="A190" s="34"/>
      <c r="B190" s="299"/>
      <c r="C190" s="38" t="s">
        <v>36</v>
      </c>
      <c r="D190" s="38" t="s">
        <v>37</v>
      </c>
      <c r="E190" s="38" t="s">
        <v>36</v>
      </c>
      <c r="F190" s="38" t="s">
        <v>37</v>
      </c>
      <c r="G190" s="34"/>
      <c r="H190" s="307"/>
      <c r="I190" s="2"/>
      <c r="J190" s="303"/>
      <c r="K190" s="308"/>
      <c r="L190" s="308"/>
      <c r="M190" s="308"/>
      <c r="N190" s="36"/>
      <c r="O190" s="2"/>
      <c r="P190" s="303"/>
      <c r="R190" s="7" t="str">
        <f t="shared" si="11"/>
        <v>20/21</v>
      </c>
      <c r="S190" s="2" t="str">
        <f t="shared" si="15"/>
        <v>1980</v>
      </c>
      <c r="T190" s="21" t="s">
        <v>38</v>
      </c>
      <c r="U190" s="21"/>
      <c r="V190" s="39"/>
      <c r="W190" s="37">
        <f>H198</f>
        <v>217.3170731707317</v>
      </c>
      <c r="X190" s="21">
        <f>B198+C198</f>
        <v>1238.2</v>
      </c>
      <c r="Y190" s="23" t="s">
        <v>39</v>
      </c>
    </row>
    <row r="191" spans="1:25" ht="16.5" customHeight="1">
      <c r="A191" s="299" t="s">
        <v>40</v>
      </c>
      <c r="B191" s="304">
        <f>SUM(Reb__Est__por_faixa_etária!O17)</f>
        <v>26185</v>
      </c>
      <c r="C191" s="40">
        <f>'Leite_-_Produção'!Y20</f>
        <v>0.01940042008783655</v>
      </c>
      <c r="D191" s="40">
        <f>100%-(C191+E191+F191)</f>
        <v>0.8205995799121635</v>
      </c>
      <c r="E191" s="41">
        <v>0.01</v>
      </c>
      <c r="F191" s="41">
        <v>0.15</v>
      </c>
      <c r="G191" s="34" t="str">
        <f>IF(SUM(C192:F192)=0,"",IF(SUM(C191:F191)&lt;1,"&lt;100%",IF(SUM(C191:F191)&gt;1,"&gt;100%","OK")))</f>
        <v>OK</v>
      </c>
      <c r="H191" s="42">
        <f>Reb__Est__por_faixa_etária!B42</f>
        <v>8470</v>
      </c>
      <c r="I191" s="2"/>
      <c r="J191" s="43">
        <f>'Leite_-_Produção'!R20</f>
        <v>44674.869</v>
      </c>
      <c r="K191" s="44"/>
      <c r="L191" s="305"/>
      <c r="M191" s="45">
        <f>TRUNC(((C192+E192)*Bovinos_e_Comerc!$AD$8)+D192*Bovinos_e_Comerc!$AD$9,0)</f>
        <v>22417</v>
      </c>
      <c r="N191" s="46"/>
      <c r="O191" s="2"/>
      <c r="P191" s="47">
        <f>IF(OR(H191="",B191=""),"-",(D192+F192)/H191)</f>
        <v>3.0006080283353014</v>
      </c>
      <c r="R191" s="7" t="str">
        <f t="shared" si="11"/>
        <v>20/21</v>
      </c>
      <c r="S191" s="2" t="str">
        <f t="shared" si="15"/>
        <v>1980</v>
      </c>
      <c r="T191" s="48">
        <v>7590</v>
      </c>
      <c r="U191" s="48"/>
      <c r="V191" s="39"/>
      <c r="W191" s="49">
        <f>+G197</f>
        <v>0</v>
      </c>
      <c r="X191" s="21">
        <f>D197</f>
        <v>0</v>
      </c>
      <c r="Y191" s="50" t="s">
        <v>41</v>
      </c>
    </row>
    <row r="192" spans="1:25" ht="16.5" customHeight="1">
      <c r="A192" s="299"/>
      <c r="B192" s="304"/>
      <c r="C192" s="53">
        <f>+C191*B191</f>
        <v>508</v>
      </c>
      <c r="D192" s="53">
        <f>+D191*B191</f>
        <v>21487.4</v>
      </c>
      <c r="E192" s="53">
        <f>+E191*B191</f>
        <v>261.85</v>
      </c>
      <c r="F192" s="53">
        <f>+F191*B191</f>
        <v>3927.75</v>
      </c>
      <c r="G192" s="34"/>
      <c r="H192" s="34"/>
      <c r="I192" s="2"/>
      <c r="J192" s="34"/>
      <c r="K192" s="34"/>
      <c r="L192" s="305"/>
      <c r="M192" s="34"/>
      <c r="N192" s="34"/>
      <c r="O192" s="34"/>
      <c r="P192" s="34"/>
      <c r="R192" s="7" t="str">
        <f t="shared" si="11"/>
        <v>20/21</v>
      </c>
      <c r="S192" s="2" t="str">
        <f t="shared" si="15"/>
        <v>1980</v>
      </c>
      <c r="T192" s="21" t="s">
        <v>42</v>
      </c>
      <c r="U192" s="21"/>
      <c r="V192" s="39"/>
      <c r="W192" s="39"/>
      <c r="X192" s="21">
        <f>K197</f>
        <v>1712.34</v>
      </c>
      <c r="Y192" s="23" t="s">
        <v>43</v>
      </c>
    </row>
    <row r="193" spans="1:25" ht="4.5" customHeight="1">
      <c r="A193" s="77"/>
      <c r="B193" s="78"/>
      <c r="C193" s="79"/>
      <c r="D193" s="79"/>
      <c r="E193" s="79"/>
      <c r="F193" s="79"/>
      <c r="G193" s="79"/>
      <c r="H193" s="34"/>
      <c r="I193" s="28"/>
      <c r="J193" s="34"/>
      <c r="K193" s="34"/>
      <c r="L193" s="80"/>
      <c r="M193" s="34"/>
      <c r="N193" s="34"/>
      <c r="O193" s="34"/>
      <c r="P193" s="34"/>
      <c r="R193" s="7" t="str">
        <f t="shared" si="11"/>
        <v>20/21</v>
      </c>
      <c r="S193" s="2" t="str">
        <f t="shared" si="15"/>
        <v>1980</v>
      </c>
      <c r="T193" s="21" t="s">
        <v>44</v>
      </c>
      <c r="U193" s="21"/>
      <c r="V193" s="39"/>
      <c r="W193" s="39"/>
      <c r="X193" s="21">
        <f>K198</f>
        <v>1173.69</v>
      </c>
      <c r="Y193" s="23" t="s">
        <v>45</v>
      </c>
    </row>
    <row r="194" spans="1:25" ht="16.5" customHeight="1">
      <c r="A194" s="301" t="s">
        <v>46</v>
      </c>
      <c r="B194" s="306" t="s">
        <v>47</v>
      </c>
      <c r="C194" s="306"/>
      <c r="D194" s="306"/>
      <c r="E194" s="306" t="s">
        <v>48</v>
      </c>
      <c r="F194" s="306"/>
      <c r="G194" s="306"/>
      <c r="H194" s="307" t="s">
        <v>49</v>
      </c>
      <c r="I194" s="2"/>
      <c r="J194" s="301" t="s">
        <v>46</v>
      </c>
      <c r="K194" s="306" t="s">
        <v>50</v>
      </c>
      <c r="L194" s="306"/>
      <c r="M194" s="306"/>
      <c r="N194" s="299" t="s">
        <v>51</v>
      </c>
      <c r="O194" s="299"/>
      <c r="P194" s="299"/>
      <c r="R194" s="7" t="str">
        <f t="shared" si="11"/>
        <v>20/21</v>
      </c>
      <c r="S194" s="2" t="str">
        <f t="shared" si="15"/>
        <v>1980</v>
      </c>
      <c r="T194" s="21" t="s">
        <v>52</v>
      </c>
      <c r="U194" s="21"/>
      <c r="V194" s="39"/>
      <c r="W194" s="39"/>
      <c r="X194" s="21">
        <f>L197</f>
        <v>1501.2</v>
      </c>
      <c r="Y194" s="23" t="s">
        <v>53</v>
      </c>
    </row>
    <row r="195" spans="1:25" ht="16.5" customHeight="1">
      <c r="A195" s="301"/>
      <c r="B195" s="300" t="s">
        <v>54</v>
      </c>
      <c r="C195" s="300" t="s">
        <v>55</v>
      </c>
      <c r="D195" s="300" t="s">
        <v>56</v>
      </c>
      <c r="E195" s="300" t="s">
        <v>54</v>
      </c>
      <c r="F195" s="300" t="s">
        <v>55</v>
      </c>
      <c r="G195" s="300" t="s">
        <v>56</v>
      </c>
      <c r="H195" s="307"/>
      <c r="I195" s="2"/>
      <c r="J195" s="301"/>
      <c r="K195" s="302" t="s">
        <v>57</v>
      </c>
      <c r="L195" s="302" t="s">
        <v>58</v>
      </c>
      <c r="M195" s="302" t="s">
        <v>59</v>
      </c>
      <c r="N195" s="299"/>
      <c r="O195" s="299"/>
      <c r="P195" s="299"/>
      <c r="R195" s="7" t="str">
        <f t="shared" si="11"/>
        <v>20/21</v>
      </c>
      <c r="S195" s="2" t="str">
        <f t="shared" si="15"/>
        <v>1980</v>
      </c>
      <c r="T195" s="21" t="s">
        <v>60</v>
      </c>
      <c r="U195" s="21"/>
      <c r="X195" s="21">
        <f>+L198</f>
        <v>4112</v>
      </c>
      <c r="Y195" s="23" t="s">
        <v>61</v>
      </c>
    </row>
    <row r="196" spans="1:25" ht="18" customHeight="1">
      <c r="A196" s="301"/>
      <c r="B196" s="301"/>
      <c r="C196" s="301"/>
      <c r="D196" s="301"/>
      <c r="E196" s="301"/>
      <c r="F196" s="301"/>
      <c r="G196" s="301"/>
      <c r="H196" s="301"/>
      <c r="I196" s="2"/>
      <c r="J196" s="301"/>
      <c r="K196" s="301"/>
      <c r="L196" s="301"/>
      <c r="M196" s="301"/>
      <c r="N196" s="66" t="s">
        <v>62</v>
      </c>
      <c r="O196" s="66" t="s">
        <v>63</v>
      </c>
      <c r="P196" s="66" t="s">
        <v>64</v>
      </c>
      <c r="R196" s="7" t="str">
        <f t="shared" si="11"/>
        <v>20/21</v>
      </c>
      <c r="S196" s="2" t="str">
        <f t="shared" si="15"/>
        <v>1980</v>
      </c>
      <c r="T196" s="21" t="s">
        <v>65</v>
      </c>
      <c r="U196" s="21"/>
      <c r="X196" s="21">
        <f>+M198</f>
        <v>370.29999999999995</v>
      </c>
      <c r="Y196" s="23" t="s">
        <v>66</v>
      </c>
    </row>
    <row r="197" spans="1:25" ht="16.5" customHeight="1">
      <c r="A197" s="66" t="s">
        <v>67</v>
      </c>
      <c r="B197" s="68">
        <f>SUM('GTA_-_NR_FB (relatório para o D'!O173)</f>
        <v>256</v>
      </c>
      <c r="C197" s="67">
        <f>SUM('GTA_-_NR_FB (relatório para o D'!P173)</f>
        <v>1278.8000000000002</v>
      </c>
      <c r="D197" s="68"/>
      <c r="E197" s="68">
        <v>260</v>
      </c>
      <c r="F197" s="68">
        <v>230</v>
      </c>
      <c r="G197" s="68"/>
      <c r="H197" s="69">
        <f>IF(B197="","",((E197*B197+F197*C197)/SUM(B197:C197)))</f>
        <v>235.00390930414386</v>
      </c>
      <c r="I197" s="2"/>
      <c r="J197" s="66" t="s">
        <v>67</v>
      </c>
      <c r="K197" s="68">
        <f>SUM('GTA_-_NR_FB (relatório para o D'!O180)</f>
        <v>1712.34</v>
      </c>
      <c r="L197" s="68">
        <f>SUM('GTA_-_NR_FB (relatório para o D'!P180)</f>
        <v>1501.2</v>
      </c>
      <c r="M197" s="68">
        <f>SUM('GTA_-_NR_FB (relatório para o D'!Q180)</f>
        <v>4.800000000000001</v>
      </c>
      <c r="N197" s="68"/>
      <c r="O197" s="68"/>
      <c r="P197" s="68"/>
      <c r="R197" s="7" t="str">
        <f t="shared" si="11"/>
        <v>20/21</v>
      </c>
      <c r="S197" s="2" t="str">
        <f t="shared" si="15"/>
        <v>1980</v>
      </c>
      <c r="T197" s="48">
        <v>7006</v>
      </c>
      <c r="U197" s="48"/>
      <c r="X197" s="21">
        <f>N197</f>
        <v>0</v>
      </c>
      <c r="Y197" s="50" t="s">
        <v>68</v>
      </c>
    </row>
    <row r="198" spans="1:25" ht="16.5" customHeight="1">
      <c r="A198" s="66" t="s">
        <v>69</v>
      </c>
      <c r="B198" s="68">
        <f>SUM('GTA_-_NR_FB (relatório para o D'!O174)</f>
        <v>453</v>
      </c>
      <c r="C198" s="67">
        <f>SUM('GTA_-_NR_FB (relatório para o D'!P174)</f>
        <v>785.2</v>
      </c>
      <c r="D198" s="34"/>
      <c r="E198" s="68">
        <v>230</v>
      </c>
      <c r="F198" s="68">
        <v>210</v>
      </c>
      <c r="G198" s="71"/>
      <c r="H198" s="69">
        <f>IF(B198="","",((E198*B198+F198*C198)/SUM(B198:C198)))</f>
        <v>217.3170731707317</v>
      </c>
      <c r="I198" s="2"/>
      <c r="J198" s="66" t="s">
        <v>69</v>
      </c>
      <c r="K198" s="68">
        <f>SUM('GTA_-_NR_FB (relatório para o D'!O181)</f>
        <v>1173.69</v>
      </c>
      <c r="L198" s="68">
        <f>SUM('GTA_-_NR_FB (relatório para o D'!P181)</f>
        <v>4112</v>
      </c>
      <c r="M198" s="72">
        <f>SUM('GTA_-_NR_FB (relatório para o D'!Q181)</f>
        <v>370.29999999999995</v>
      </c>
      <c r="N198" s="73"/>
      <c r="O198" s="73"/>
      <c r="P198" s="73"/>
      <c r="R198" s="7" t="str">
        <f t="shared" si="11"/>
        <v>20/21</v>
      </c>
      <c r="S198" s="2" t="str">
        <f t="shared" si="15"/>
        <v>1980</v>
      </c>
      <c r="T198" s="48">
        <v>7007</v>
      </c>
      <c r="U198" s="48"/>
      <c r="X198" s="21">
        <f>O197</f>
        <v>0</v>
      </c>
      <c r="Y198" s="50" t="s">
        <v>70</v>
      </c>
    </row>
    <row r="199" spans="1:25" ht="18" customHeight="1">
      <c r="A199" s="35" t="s">
        <v>71</v>
      </c>
      <c r="B199" s="74">
        <f>IF(B191="","",(B198+B197)/B191)</f>
        <v>0.02707657055566164</v>
      </c>
      <c r="C199" s="74">
        <f>IF(B191="","",(C198+C197)/B191)</f>
        <v>0.0788237540576666</v>
      </c>
      <c r="D199" s="74">
        <f>IF(B191="","",(D198+D197)/B191)</f>
        <v>0</v>
      </c>
      <c r="E199" s="297" t="str">
        <f>IF(B191="","",IF(B199+C199+D199&gt;Bovinos_e_Comerc!$AD$5," -&gt; índices (somados) acima da média",IF(B199+C199+D199&lt;Bovinos_e_Comerc!$AD$4," -&gt; índices (somados) abaixo da média","")))</f>
        <v> -&gt; índices (somados) abaixo da média</v>
      </c>
      <c r="F199" s="297"/>
      <c r="G199" s="297"/>
      <c r="H199" s="297"/>
      <c r="I199" s="2"/>
      <c r="J199" s="35" t="s">
        <v>71</v>
      </c>
      <c r="K199" s="75">
        <f>IF(B191="","-",(K198+K197)/B191)</f>
        <v>0.11021691808287186</v>
      </c>
      <c r="L199" s="75">
        <f>IF(B191="","-",(L198+L197)/B191)</f>
        <v>0.21436700400992934</v>
      </c>
      <c r="M199" s="75">
        <f>IF(B191="","-",(M198+M197+O197+N197+P197)/B191)</f>
        <v>0.014324995226274584</v>
      </c>
      <c r="N199" s="298" t="str">
        <f>IF(AND(K199="-",L199="-",M199="-"),"",IF(K199&gt;Bovinos_e_Comerc!$AA$5," -&gt; índice(s) fora da faixa média",IF(K199&lt;Bovinos_e_Comerc!$AA$4," -&gt; índice(s) fora da faixa média",IF(L199&gt;Bovinos_e_Comerc!$AB$5," -&gt; índice(s) fora da faixa média",IF(L199&lt;Bovinos_e_Comerc!$AB$4," -&gt; índice(s) fora da faixa média",IF(M199&gt;Bovinos_e_Comerc!$AC$5," -&gt; índice(s) fora da faixa média",IF(M199&lt;Bovinos_e_Comerc!$AC$4," -&gt; índice(s) fora da faixa média","")))))))</f>
        <v> -&gt; índice(s) fora da faixa média</v>
      </c>
      <c r="O199" s="298"/>
      <c r="P199" s="298"/>
      <c r="R199" s="7" t="str">
        <f aca="true" t="shared" si="16" ref="R199:R262">+$S$5</f>
        <v>20/21</v>
      </c>
      <c r="S199" s="2" t="str">
        <f t="shared" si="15"/>
        <v>1980</v>
      </c>
      <c r="T199" s="48">
        <v>7008</v>
      </c>
      <c r="U199" s="48"/>
      <c r="X199" s="21">
        <f>P197</f>
        <v>0</v>
      </c>
      <c r="Y199" s="50" t="s">
        <v>72</v>
      </c>
    </row>
    <row r="200" spans="1:25" ht="7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R200" s="7" t="str">
        <f t="shared" si="16"/>
        <v>20/21</v>
      </c>
      <c r="S200" s="2" t="str">
        <f t="shared" si="15"/>
        <v>1980</v>
      </c>
      <c r="T200" s="21" t="s">
        <v>73</v>
      </c>
      <c r="U200" s="21"/>
      <c r="X200" s="21">
        <f>+M197</f>
        <v>4.800000000000001</v>
      </c>
      <c r="Y200" s="23" t="s">
        <v>74</v>
      </c>
    </row>
    <row r="201" spans="1:25" ht="7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R201" s="7" t="str">
        <f t="shared" si="16"/>
        <v>20/21</v>
      </c>
      <c r="S201" s="2" t="str">
        <f t="shared" si="15"/>
        <v>1980</v>
      </c>
      <c r="T201" s="21" t="s">
        <v>75</v>
      </c>
      <c r="U201" s="21">
        <f>+H191</f>
        <v>8470</v>
      </c>
      <c r="X201" s="21"/>
      <c r="Y201" s="23" t="s">
        <v>76</v>
      </c>
    </row>
    <row r="202" spans="1:25" ht="16.5" customHeight="1">
      <c r="A202" s="20" t="s">
        <v>18</v>
      </c>
      <c r="B202" s="20" t="s">
        <v>102</v>
      </c>
      <c r="C202" s="20" t="s">
        <v>103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R202" s="7" t="str">
        <f t="shared" si="16"/>
        <v>20/21</v>
      </c>
      <c r="S202" s="2" t="str">
        <f>+B202</f>
        <v>2035</v>
      </c>
      <c r="T202" s="21">
        <v>7014</v>
      </c>
      <c r="U202" s="21"/>
      <c r="V202" s="2">
        <f>J206</f>
        <v>8116.319</v>
      </c>
      <c r="Y202" s="23" t="s">
        <v>21</v>
      </c>
    </row>
    <row r="203" spans="1:25" ht="6" customHeight="1">
      <c r="A203" s="25"/>
      <c r="B203" s="26"/>
      <c r="C203" s="27"/>
      <c r="D203" s="27"/>
      <c r="E203" s="27"/>
      <c r="F203" s="27"/>
      <c r="G203" s="2"/>
      <c r="H203" s="2"/>
      <c r="I203" s="28"/>
      <c r="J203" s="2"/>
      <c r="K203" s="2"/>
      <c r="L203" s="29"/>
      <c r="M203" s="2"/>
      <c r="N203" s="2"/>
      <c r="O203" s="2"/>
      <c r="P203" s="2"/>
      <c r="R203" s="7" t="str">
        <f t="shared" si="16"/>
        <v>20/21</v>
      </c>
      <c r="S203" s="2" t="str">
        <f aca="true" t="shared" si="17" ref="S203:S216">+S202</f>
        <v>2035</v>
      </c>
      <c r="V203" s="13">
        <f>M206</f>
        <v>4461</v>
      </c>
      <c r="Y203" s="2" t="s">
        <v>22</v>
      </c>
    </row>
    <row r="204" spans="1:25" ht="11.25" customHeight="1">
      <c r="A204" s="34"/>
      <c r="B204" s="299" t="s">
        <v>26</v>
      </c>
      <c r="C204" s="307" t="s">
        <v>27</v>
      </c>
      <c r="D204" s="307"/>
      <c r="E204" s="307" t="s">
        <v>28</v>
      </c>
      <c r="F204" s="307"/>
      <c r="G204" s="34"/>
      <c r="H204" s="307" t="s">
        <v>29</v>
      </c>
      <c r="I204" s="2"/>
      <c r="J204" s="303" t="s">
        <v>30</v>
      </c>
      <c r="K204" s="308"/>
      <c r="L204" s="308"/>
      <c r="M204" s="303" t="s">
        <v>31</v>
      </c>
      <c r="N204" s="36"/>
      <c r="O204" s="2"/>
      <c r="P204" s="303" t="s">
        <v>32</v>
      </c>
      <c r="R204" s="7" t="str">
        <f t="shared" si="16"/>
        <v>20/21</v>
      </c>
      <c r="S204" s="2" t="str">
        <f t="shared" si="17"/>
        <v>2035</v>
      </c>
      <c r="T204" s="21" t="s">
        <v>33</v>
      </c>
      <c r="U204" s="21"/>
      <c r="V204" s="21">
        <f>+B206</f>
        <v>5160</v>
      </c>
      <c r="W204" s="37">
        <f>+H212</f>
        <v>239.61025093432994</v>
      </c>
      <c r="X204" s="21">
        <f>B212+C212</f>
        <v>374.6</v>
      </c>
      <c r="Y204" s="23" t="s">
        <v>34</v>
      </c>
    </row>
    <row r="205" spans="1:25" ht="12" customHeight="1">
      <c r="A205" s="34"/>
      <c r="B205" s="299"/>
      <c r="C205" s="38" t="s">
        <v>36</v>
      </c>
      <c r="D205" s="38" t="s">
        <v>37</v>
      </c>
      <c r="E205" s="38" t="s">
        <v>36</v>
      </c>
      <c r="F205" s="38" t="s">
        <v>37</v>
      </c>
      <c r="G205" s="34"/>
      <c r="H205" s="307"/>
      <c r="I205" s="2"/>
      <c r="J205" s="303"/>
      <c r="K205" s="308"/>
      <c r="L205" s="308"/>
      <c r="M205" s="308"/>
      <c r="N205" s="36"/>
      <c r="O205" s="2"/>
      <c r="P205" s="303"/>
      <c r="R205" s="7" t="str">
        <f t="shared" si="16"/>
        <v>20/21</v>
      </c>
      <c r="S205" s="2" t="str">
        <f t="shared" si="17"/>
        <v>2035</v>
      </c>
      <c r="T205" s="21" t="s">
        <v>38</v>
      </c>
      <c r="U205" s="21"/>
      <c r="V205" s="76"/>
      <c r="W205" s="37">
        <f>H213</f>
        <v>221.2939841089671</v>
      </c>
      <c r="X205" s="21">
        <f>B213+C213</f>
        <v>352.4</v>
      </c>
      <c r="Y205" s="23" t="s">
        <v>39</v>
      </c>
    </row>
    <row r="206" spans="1:25" ht="16.5" customHeight="1">
      <c r="A206" s="299" t="s">
        <v>40</v>
      </c>
      <c r="B206" s="304">
        <f>SUM(Reb__Est__por_faixa_etária!O18)</f>
        <v>5160</v>
      </c>
      <c r="C206" s="40">
        <f>'Leite_-_Produção'!Y21</f>
        <v>0.02248062015503876</v>
      </c>
      <c r="D206" s="40">
        <f>100%-(C206+E206+F206)</f>
        <v>0.8575193798449612</v>
      </c>
      <c r="E206" s="41"/>
      <c r="F206" s="41">
        <v>0.12</v>
      </c>
      <c r="G206" s="34" t="str">
        <f>IF(SUM(C207:F207)=0,"",IF(SUM(C206:F206)&lt;1,"&lt;100%",IF(SUM(C206:F206)&gt;1,"&gt;100%","OK")))</f>
        <v>OK</v>
      </c>
      <c r="H206" s="42">
        <f>Reb__Est__por_faixa_etária!B43</f>
        <v>2320</v>
      </c>
      <c r="I206" s="2"/>
      <c r="J206" s="43">
        <f>'Leite_-_Produção'!R21</f>
        <v>8116.319</v>
      </c>
      <c r="K206" s="44"/>
      <c r="L206" s="305"/>
      <c r="M206" s="45">
        <f>TRUNC(((C207+E207)*Bovinos_e_Comerc!$AD$8)+D207*Bovinos_e_Comerc!$AD$9,0)</f>
        <v>4461</v>
      </c>
      <c r="N206" s="46"/>
      <c r="O206" s="2"/>
      <c r="P206" s="47">
        <f>IF(OR(H206="",B206=""),"-",(D207+F207)/H206)</f>
        <v>2.1741379310344824</v>
      </c>
      <c r="R206" s="7" t="str">
        <f t="shared" si="16"/>
        <v>20/21</v>
      </c>
      <c r="S206" s="2" t="str">
        <f t="shared" si="17"/>
        <v>2035</v>
      </c>
      <c r="T206" s="48">
        <v>7590</v>
      </c>
      <c r="U206" s="48"/>
      <c r="V206" s="76"/>
      <c r="W206" s="49">
        <f>+G212</f>
        <v>0</v>
      </c>
      <c r="X206" s="21">
        <f>D212</f>
        <v>0</v>
      </c>
      <c r="Y206" s="50" t="s">
        <v>41</v>
      </c>
    </row>
    <row r="207" spans="1:25" ht="16.5" customHeight="1">
      <c r="A207" s="299"/>
      <c r="B207" s="304"/>
      <c r="C207" s="53">
        <f>+C206*B206</f>
        <v>116</v>
      </c>
      <c r="D207" s="53">
        <f>+D206*B206</f>
        <v>4424.799999999999</v>
      </c>
      <c r="E207" s="53">
        <f>+E206*B206</f>
        <v>0</v>
      </c>
      <c r="F207" s="53">
        <f>+F206*B206</f>
        <v>619.1999999999999</v>
      </c>
      <c r="G207" s="34"/>
      <c r="H207" s="34"/>
      <c r="I207" s="2"/>
      <c r="J207" s="34"/>
      <c r="K207" s="34"/>
      <c r="L207" s="305"/>
      <c r="M207" s="34"/>
      <c r="N207" s="34"/>
      <c r="O207" s="34"/>
      <c r="P207" s="34"/>
      <c r="R207" s="7" t="str">
        <f t="shared" si="16"/>
        <v>20/21</v>
      </c>
      <c r="S207" s="2" t="str">
        <f t="shared" si="17"/>
        <v>2035</v>
      </c>
      <c r="T207" s="21" t="s">
        <v>42</v>
      </c>
      <c r="U207" s="21"/>
      <c r="V207" s="76"/>
      <c r="W207" s="76"/>
      <c r="X207" s="21">
        <f>K212</f>
        <v>485.46000000000004</v>
      </c>
      <c r="Y207" s="23" t="s">
        <v>43</v>
      </c>
    </row>
    <row r="208" spans="1:25" ht="4.5" customHeight="1">
      <c r="A208" s="77"/>
      <c r="B208" s="78"/>
      <c r="C208" s="79"/>
      <c r="D208" s="79"/>
      <c r="E208" s="79"/>
      <c r="F208" s="79"/>
      <c r="G208" s="79"/>
      <c r="H208" s="34"/>
      <c r="I208" s="28"/>
      <c r="J208" s="34"/>
      <c r="K208" s="34"/>
      <c r="L208" s="80"/>
      <c r="M208" s="34"/>
      <c r="N208" s="34"/>
      <c r="O208" s="34"/>
      <c r="P208" s="34"/>
      <c r="R208" s="7" t="str">
        <f t="shared" si="16"/>
        <v>20/21</v>
      </c>
      <c r="S208" s="2" t="str">
        <f t="shared" si="17"/>
        <v>2035</v>
      </c>
      <c r="T208" s="21" t="s">
        <v>44</v>
      </c>
      <c r="U208" s="21"/>
      <c r="V208" s="76"/>
      <c r="W208" s="76"/>
      <c r="X208" s="21">
        <f>K213</f>
        <v>241.56</v>
      </c>
      <c r="Y208" s="23" t="s">
        <v>45</v>
      </c>
    </row>
    <row r="209" spans="1:25" ht="16.5" customHeight="1">
      <c r="A209" s="301" t="s">
        <v>46</v>
      </c>
      <c r="B209" s="306" t="s">
        <v>47</v>
      </c>
      <c r="C209" s="306"/>
      <c r="D209" s="306"/>
      <c r="E209" s="306" t="s">
        <v>48</v>
      </c>
      <c r="F209" s="306"/>
      <c r="G209" s="306"/>
      <c r="H209" s="307" t="s">
        <v>49</v>
      </c>
      <c r="I209" s="2"/>
      <c r="J209" s="301" t="s">
        <v>46</v>
      </c>
      <c r="K209" s="306" t="s">
        <v>50</v>
      </c>
      <c r="L209" s="306"/>
      <c r="M209" s="306"/>
      <c r="N209" s="299" t="s">
        <v>51</v>
      </c>
      <c r="O209" s="299"/>
      <c r="P209" s="299"/>
      <c r="R209" s="7" t="str">
        <f t="shared" si="16"/>
        <v>20/21</v>
      </c>
      <c r="S209" s="2" t="str">
        <f t="shared" si="17"/>
        <v>2035</v>
      </c>
      <c r="T209" s="21" t="s">
        <v>52</v>
      </c>
      <c r="U209" s="21"/>
      <c r="V209" s="76"/>
      <c r="W209" s="76"/>
      <c r="X209" s="21">
        <f>L212</f>
        <v>277.95</v>
      </c>
      <c r="Y209" s="23" t="s">
        <v>53</v>
      </c>
    </row>
    <row r="210" spans="1:25" ht="16.5" customHeight="1">
      <c r="A210" s="301"/>
      <c r="B210" s="300" t="s">
        <v>54</v>
      </c>
      <c r="C210" s="300" t="s">
        <v>55</v>
      </c>
      <c r="D210" s="300" t="s">
        <v>56</v>
      </c>
      <c r="E210" s="300" t="s">
        <v>54</v>
      </c>
      <c r="F210" s="300" t="s">
        <v>55</v>
      </c>
      <c r="G210" s="300" t="s">
        <v>56</v>
      </c>
      <c r="H210" s="307"/>
      <c r="I210" s="2"/>
      <c r="J210" s="301"/>
      <c r="K210" s="302" t="s">
        <v>57</v>
      </c>
      <c r="L210" s="302" t="s">
        <v>58</v>
      </c>
      <c r="M210" s="302" t="s">
        <v>59</v>
      </c>
      <c r="N210" s="299"/>
      <c r="O210" s="299"/>
      <c r="P210" s="299"/>
      <c r="R210" s="7" t="str">
        <f t="shared" si="16"/>
        <v>20/21</v>
      </c>
      <c r="S210" s="2" t="str">
        <f t="shared" si="17"/>
        <v>2035</v>
      </c>
      <c r="T210" s="21" t="s">
        <v>60</v>
      </c>
      <c r="U210" s="21"/>
      <c r="X210" s="21">
        <f>+L213</f>
        <v>833.85</v>
      </c>
      <c r="Y210" s="23" t="s">
        <v>61</v>
      </c>
    </row>
    <row r="211" spans="1:25" ht="18" customHeight="1">
      <c r="A211" s="301"/>
      <c r="B211" s="301"/>
      <c r="C211" s="301"/>
      <c r="D211" s="301"/>
      <c r="E211" s="301"/>
      <c r="F211" s="301"/>
      <c r="G211" s="301"/>
      <c r="H211" s="301"/>
      <c r="I211" s="2"/>
      <c r="J211" s="301"/>
      <c r="K211" s="301"/>
      <c r="L211" s="301"/>
      <c r="M211" s="301"/>
      <c r="N211" s="66" t="s">
        <v>62</v>
      </c>
      <c r="O211" s="66" t="s">
        <v>63</v>
      </c>
      <c r="P211" s="66" t="s">
        <v>64</v>
      </c>
      <c r="R211" s="7" t="str">
        <f t="shared" si="16"/>
        <v>20/21</v>
      </c>
      <c r="S211" s="2" t="str">
        <f t="shared" si="17"/>
        <v>2035</v>
      </c>
      <c r="T211" s="21" t="s">
        <v>65</v>
      </c>
      <c r="U211" s="21"/>
      <c r="X211" s="21">
        <f>+M213</f>
        <v>27.200000000000003</v>
      </c>
      <c r="Y211" s="23" t="s">
        <v>66</v>
      </c>
    </row>
    <row r="212" spans="1:25" ht="16.5" customHeight="1">
      <c r="A212" s="66" t="s">
        <v>67</v>
      </c>
      <c r="B212" s="68">
        <f>SUM('GTA_-_NR_FB (relatório para o D'!O187)</f>
        <v>120</v>
      </c>
      <c r="C212" s="67">
        <f>SUM('GTA_-_NR_FB (relatório para o D'!P187)</f>
        <v>254.60000000000002</v>
      </c>
      <c r="D212" s="68"/>
      <c r="E212" s="68">
        <v>260</v>
      </c>
      <c r="F212" s="68">
        <v>230</v>
      </c>
      <c r="G212" s="68"/>
      <c r="H212" s="69">
        <f>IF(B212="","",((E212*B212+F212*C212)/SUM(B212:C212)))</f>
        <v>239.61025093432994</v>
      </c>
      <c r="I212" s="2"/>
      <c r="J212" s="66" t="s">
        <v>67</v>
      </c>
      <c r="K212" s="68">
        <f>SUM('GTA_-_NR_FB (relatório para o D'!O194)</f>
        <v>485.46000000000004</v>
      </c>
      <c r="L212" s="68">
        <f>SUM('GTA_-_NR_FB (relatório para o D'!P194)</f>
        <v>277.95</v>
      </c>
      <c r="M212" s="68">
        <f>SUM('GTA_-_NR_FB (relatório para o D'!Q194)</f>
        <v>1</v>
      </c>
      <c r="N212" s="68"/>
      <c r="O212" s="68"/>
      <c r="P212" s="68"/>
      <c r="R212" s="7" t="str">
        <f t="shared" si="16"/>
        <v>20/21</v>
      </c>
      <c r="S212" s="2" t="str">
        <f t="shared" si="17"/>
        <v>2035</v>
      </c>
      <c r="T212" s="48">
        <v>7006</v>
      </c>
      <c r="U212" s="48"/>
      <c r="X212" s="21">
        <f>N212</f>
        <v>0</v>
      </c>
      <c r="Y212" s="50" t="s">
        <v>68</v>
      </c>
    </row>
    <row r="213" spans="1:25" ht="16.5" customHeight="1">
      <c r="A213" s="66" t="s">
        <v>69</v>
      </c>
      <c r="B213" s="68">
        <f>SUM('GTA_-_NR_FB (relatório para o D'!O188)</f>
        <v>199</v>
      </c>
      <c r="C213" s="67">
        <f>SUM('GTA_-_NR_FB (relatório para o D'!P188)</f>
        <v>153.4</v>
      </c>
      <c r="D213" s="34"/>
      <c r="E213" s="68">
        <v>230</v>
      </c>
      <c r="F213" s="68">
        <v>210</v>
      </c>
      <c r="G213" s="71"/>
      <c r="H213" s="69">
        <f>IF(B213="","",((E213*B213+F213*C213)/SUM(B213:C213)))</f>
        <v>221.2939841089671</v>
      </c>
      <c r="I213" s="2"/>
      <c r="J213" s="66" t="s">
        <v>69</v>
      </c>
      <c r="K213" s="68">
        <f>SUM('GTA_-_NR_FB (relatório para o D'!O195)</f>
        <v>241.56</v>
      </c>
      <c r="L213" s="68">
        <f>SUM('GTA_-_NR_FB (relatório para o D'!P195)</f>
        <v>833.85</v>
      </c>
      <c r="M213" s="72">
        <f>SUM('GTA_-_NR_FB (relatório para o D'!Q195)</f>
        <v>27.200000000000003</v>
      </c>
      <c r="N213" s="73"/>
      <c r="O213" s="73"/>
      <c r="P213" s="73"/>
      <c r="R213" s="7" t="str">
        <f t="shared" si="16"/>
        <v>20/21</v>
      </c>
      <c r="S213" s="2" t="str">
        <f t="shared" si="17"/>
        <v>2035</v>
      </c>
      <c r="T213" s="48">
        <v>7007</v>
      </c>
      <c r="U213" s="48"/>
      <c r="X213" s="21">
        <f>O212</f>
        <v>0</v>
      </c>
      <c r="Y213" s="50" t="s">
        <v>70</v>
      </c>
    </row>
    <row r="214" spans="1:25" ht="18" customHeight="1">
      <c r="A214" s="35" t="s">
        <v>71</v>
      </c>
      <c r="B214" s="74">
        <f>IF(B206="","",(B213+B212)/B206)</f>
        <v>0.06182170542635659</v>
      </c>
      <c r="C214" s="74">
        <f>IF(B206="","",(C213+C212)/B206)</f>
        <v>0.07906976744186046</v>
      </c>
      <c r="D214" s="74">
        <f>IF(B206="","",(D213+D212)/B206)</f>
        <v>0</v>
      </c>
      <c r="E214" s="297">
        <f>IF(B206="","",IF(B214+C214+D214&gt;Bovinos_e_Comerc!$AD$5," -&gt; índices (somados) acima da média",IF(B214+C214+D214&lt;Bovinos_e_Comerc!$AD$4," -&gt; índices (somados) abaixo da média","")))</f>
      </c>
      <c r="F214" s="297"/>
      <c r="G214" s="297"/>
      <c r="H214" s="297"/>
      <c r="I214" s="2"/>
      <c r="J214" s="35" t="s">
        <v>71</v>
      </c>
      <c r="K214" s="75">
        <f>IF(B206="","-",(K213+K212)/B206)</f>
        <v>0.1408953488372093</v>
      </c>
      <c r="L214" s="75">
        <f>IF(B206="","-",(L213+L212)/B206)</f>
        <v>0.21546511627906975</v>
      </c>
      <c r="M214" s="75">
        <f>IF(B206="","-",(M213+M212+O212+N212+P212)/B206)</f>
        <v>0.005465116279069768</v>
      </c>
      <c r="N214" s="298" t="str">
        <f>IF(AND(K214="-",L214="-",M214="-"),"",IF(K214&gt;Bovinos_e_Comerc!$AA$5," -&gt; índice(s) fora da faixa média",IF(K214&lt;Bovinos_e_Comerc!$AA$4," -&gt; índice(s) fora da faixa média",IF(L214&gt;Bovinos_e_Comerc!$AB$5," -&gt; índice(s) fora da faixa média",IF(L214&lt;Bovinos_e_Comerc!$AB$4," -&gt; índice(s) fora da faixa média",IF(M214&gt;Bovinos_e_Comerc!$AC$5," -&gt; índice(s) fora da faixa média",IF(M214&lt;Bovinos_e_Comerc!$AC$4," -&gt; índice(s) fora da faixa média","")))))))</f>
        <v> -&gt; índice(s) fora da faixa média</v>
      </c>
      <c r="O214" s="298"/>
      <c r="P214" s="298"/>
      <c r="R214" s="7" t="str">
        <f t="shared" si="16"/>
        <v>20/21</v>
      </c>
      <c r="S214" s="2" t="str">
        <f t="shared" si="17"/>
        <v>2035</v>
      </c>
      <c r="T214" s="48">
        <v>7008</v>
      </c>
      <c r="U214" s="48"/>
      <c r="X214" s="21">
        <f>P212</f>
        <v>0</v>
      </c>
      <c r="Y214" s="50" t="s">
        <v>72</v>
      </c>
    </row>
    <row r="215" spans="1:25" ht="7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R215" s="7" t="str">
        <f t="shared" si="16"/>
        <v>20/21</v>
      </c>
      <c r="S215" s="2" t="str">
        <f t="shared" si="17"/>
        <v>2035</v>
      </c>
      <c r="T215" s="21" t="s">
        <v>73</v>
      </c>
      <c r="U215" s="21"/>
      <c r="W215" s="18"/>
      <c r="X215" s="21">
        <f>+M212</f>
        <v>1</v>
      </c>
      <c r="Y215" s="23" t="s">
        <v>74</v>
      </c>
    </row>
    <row r="216" spans="1:25" ht="7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R216" s="7" t="str">
        <f t="shared" si="16"/>
        <v>20/21</v>
      </c>
      <c r="S216" s="2" t="str">
        <f t="shared" si="17"/>
        <v>2035</v>
      </c>
      <c r="T216" s="21" t="s">
        <v>75</v>
      </c>
      <c r="U216" s="21">
        <f>+H206</f>
        <v>2320</v>
      </c>
      <c r="W216" s="18"/>
      <c r="X216" s="21"/>
      <c r="Y216" s="23" t="s">
        <v>76</v>
      </c>
    </row>
    <row r="217" spans="1:25" ht="16.5" customHeight="1">
      <c r="A217" s="20" t="s">
        <v>18</v>
      </c>
      <c r="B217" s="20" t="s">
        <v>104</v>
      </c>
      <c r="C217" s="20" t="s">
        <v>105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R217" s="7" t="str">
        <f t="shared" si="16"/>
        <v>20/21</v>
      </c>
      <c r="S217" s="2" t="str">
        <f>+B217</f>
        <v>2140</v>
      </c>
      <c r="T217" s="21">
        <v>7014</v>
      </c>
      <c r="U217" s="21"/>
      <c r="V217" s="2">
        <f>J221</f>
        <v>26034.977</v>
      </c>
      <c r="Y217" s="23" t="s">
        <v>21</v>
      </c>
    </row>
    <row r="218" spans="1:25" ht="6" customHeight="1">
      <c r="A218" s="25"/>
      <c r="B218" s="26"/>
      <c r="C218" s="27"/>
      <c r="D218" s="27"/>
      <c r="E218" s="27"/>
      <c r="F218" s="27"/>
      <c r="G218" s="2"/>
      <c r="H218" s="2"/>
      <c r="I218" s="28"/>
      <c r="J218" s="2"/>
      <c r="K218" s="2"/>
      <c r="L218" s="29"/>
      <c r="M218" s="2"/>
      <c r="N218" s="2"/>
      <c r="O218" s="2"/>
      <c r="P218" s="2"/>
      <c r="R218" s="7" t="str">
        <f t="shared" si="16"/>
        <v>20/21</v>
      </c>
      <c r="S218" s="2" t="str">
        <f aca="true" t="shared" si="18" ref="S218:S231">+S217</f>
        <v>2140</v>
      </c>
      <c r="V218" s="13">
        <f>M221</f>
        <v>18592</v>
      </c>
      <c r="Y218" s="2" t="s">
        <v>22</v>
      </c>
    </row>
    <row r="219" spans="1:25" ht="11.25" customHeight="1">
      <c r="A219" s="34"/>
      <c r="B219" s="299" t="s">
        <v>26</v>
      </c>
      <c r="C219" s="307" t="s">
        <v>27</v>
      </c>
      <c r="D219" s="307"/>
      <c r="E219" s="307" t="s">
        <v>28</v>
      </c>
      <c r="F219" s="307"/>
      <c r="G219" s="34"/>
      <c r="H219" s="307" t="s">
        <v>29</v>
      </c>
      <c r="I219" s="2"/>
      <c r="J219" s="303" t="s">
        <v>30</v>
      </c>
      <c r="K219" s="308"/>
      <c r="L219" s="308"/>
      <c r="M219" s="303" t="s">
        <v>31</v>
      </c>
      <c r="N219" s="36"/>
      <c r="O219" s="2"/>
      <c r="P219" s="303" t="s">
        <v>32</v>
      </c>
      <c r="R219" s="7" t="str">
        <f t="shared" si="16"/>
        <v>20/21</v>
      </c>
      <c r="S219" s="2" t="str">
        <f t="shared" si="18"/>
        <v>2140</v>
      </c>
      <c r="T219" s="21" t="s">
        <v>33</v>
      </c>
      <c r="U219" s="21"/>
      <c r="V219" s="21">
        <f>+B221</f>
        <v>23018</v>
      </c>
      <c r="W219" s="37">
        <f>+H227</f>
        <v>244.6614785992218</v>
      </c>
      <c r="X219" s="21">
        <f>B227+C227</f>
        <v>1285</v>
      </c>
      <c r="Y219" s="23" t="s">
        <v>34</v>
      </c>
    </row>
    <row r="220" spans="1:25" ht="12" customHeight="1">
      <c r="A220" s="34"/>
      <c r="B220" s="299"/>
      <c r="C220" s="38" t="s">
        <v>36</v>
      </c>
      <c r="D220" s="38" t="s">
        <v>37</v>
      </c>
      <c r="E220" s="38" t="s">
        <v>36</v>
      </c>
      <c r="F220" s="38" t="s">
        <v>37</v>
      </c>
      <c r="G220" s="34"/>
      <c r="H220" s="307"/>
      <c r="I220" s="2"/>
      <c r="J220" s="303"/>
      <c r="K220" s="308"/>
      <c r="L220" s="308"/>
      <c r="M220" s="308"/>
      <c r="N220" s="36"/>
      <c r="O220" s="2"/>
      <c r="P220" s="303"/>
      <c r="R220" s="7" t="str">
        <f t="shared" si="16"/>
        <v>20/21</v>
      </c>
      <c r="S220" s="2" t="str">
        <f t="shared" si="18"/>
        <v>2140</v>
      </c>
      <c r="T220" s="21" t="s">
        <v>38</v>
      </c>
      <c r="U220" s="21"/>
      <c r="V220" s="39"/>
      <c r="W220" s="37">
        <f>H228</f>
        <v>220.7706093189964</v>
      </c>
      <c r="X220" s="21">
        <f>B228+C228</f>
        <v>1116</v>
      </c>
      <c r="Y220" s="23" t="s">
        <v>39</v>
      </c>
    </row>
    <row r="221" spans="1:25" ht="16.5" customHeight="1">
      <c r="A221" s="299" t="s">
        <v>40</v>
      </c>
      <c r="B221" s="304">
        <f>SUM(Reb__Est__por_faixa_etária!O19)</f>
        <v>23018</v>
      </c>
      <c r="C221" s="40">
        <f>'Leite_-_Produção'!Y22</f>
        <v>0.02107046659136328</v>
      </c>
      <c r="D221" s="40">
        <f>100%-(C221+E221+F221)</f>
        <v>0.6689295334086367</v>
      </c>
      <c r="E221" s="41">
        <v>0.033</v>
      </c>
      <c r="F221" s="41">
        <v>0.277</v>
      </c>
      <c r="G221" s="34" t="str">
        <f>IF(SUM(C222:F222)=0,"",IF(SUM(C221:F221)&lt;1,"&lt;100%",IF(SUM(C221:F221)&gt;1,"&gt;100%","OK")))</f>
        <v>OK</v>
      </c>
      <c r="H221" s="42">
        <f>Reb__Est__por_faixa_etária!B44</f>
        <v>9985</v>
      </c>
      <c r="I221" s="2"/>
      <c r="J221" s="43">
        <f>'Leite_-_Produção'!R22</f>
        <v>26034.977</v>
      </c>
      <c r="K221" s="44"/>
      <c r="L221" s="305"/>
      <c r="M221" s="45">
        <f>TRUNC(((C222+E222)*Bovinos_e_Comerc!$AD$8)+D222*Bovinos_e_Comerc!$AD$9,0)</f>
        <v>18592</v>
      </c>
      <c r="N221" s="46"/>
      <c r="O221" s="2"/>
      <c r="P221" s="47">
        <f>IF(OR(H221="",B221=""),"-",(D222+F222)/H221)</f>
        <v>2.180611517275914</v>
      </c>
      <c r="R221" s="7" t="str">
        <f t="shared" si="16"/>
        <v>20/21</v>
      </c>
      <c r="S221" s="2" t="str">
        <f t="shared" si="18"/>
        <v>2140</v>
      </c>
      <c r="T221" s="48">
        <v>7590</v>
      </c>
      <c r="U221" s="48"/>
      <c r="V221" s="39"/>
      <c r="W221" s="49">
        <f>+G227</f>
        <v>0</v>
      </c>
      <c r="X221" s="21">
        <f>D227</f>
        <v>0</v>
      </c>
      <c r="Y221" s="50" t="s">
        <v>41</v>
      </c>
    </row>
    <row r="222" spans="1:25" ht="16.5" customHeight="1">
      <c r="A222" s="299"/>
      <c r="B222" s="304"/>
      <c r="C222" s="53">
        <f>+C221*B221</f>
        <v>485</v>
      </c>
      <c r="D222" s="53">
        <f>+D221*B221</f>
        <v>15397.42</v>
      </c>
      <c r="E222" s="53">
        <f>+E221*B221</f>
        <v>759.594</v>
      </c>
      <c r="F222" s="53">
        <f>+F221*B221</f>
        <v>6375.986000000001</v>
      </c>
      <c r="G222" s="34"/>
      <c r="H222" s="34"/>
      <c r="I222" s="2"/>
      <c r="J222" s="34"/>
      <c r="K222" s="34"/>
      <c r="L222" s="305"/>
      <c r="M222" s="34"/>
      <c r="N222" s="34"/>
      <c r="O222" s="34"/>
      <c r="P222" s="34"/>
      <c r="R222" s="7" t="str">
        <f t="shared" si="16"/>
        <v>20/21</v>
      </c>
      <c r="S222" s="2" t="str">
        <f t="shared" si="18"/>
        <v>2140</v>
      </c>
      <c r="T222" s="21" t="s">
        <v>42</v>
      </c>
      <c r="U222" s="21"/>
      <c r="V222" s="39"/>
      <c r="W222" s="39"/>
      <c r="X222" s="21">
        <f>K227</f>
        <v>931</v>
      </c>
      <c r="Y222" s="23" t="s">
        <v>43</v>
      </c>
    </row>
    <row r="223" spans="1:25" ht="4.5" customHeight="1">
      <c r="A223" s="77"/>
      <c r="B223" s="78"/>
      <c r="C223" s="79"/>
      <c r="D223" s="79"/>
      <c r="E223" s="79"/>
      <c r="F223" s="79"/>
      <c r="G223" s="79"/>
      <c r="H223" s="34"/>
      <c r="I223" s="28"/>
      <c r="J223" s="34"/>
      <c r="K223" s="34"/>
      <c r="L223" s="80"/>
      <c r="M223" s="34"/>
      <c r="N223" s="34"/>
      <c r="O223" s="34"/>
      <c r="P223" s="34"/>
      <c r="R223" s="7" t="str">
        <f t="shared" si="16"/>
        <v>20/21</v>
      </c>
      <c r="S223" s="2" t="str">
        <f t="shared" si="18"/>
        <v>2140</v>
      </c>
      <c r="T223" s="21" t="s">
        <v>44</v>
      </c>
      <c r="U223" s="21"/>
      <c r="V223" s="39"/>
      <c r="W223" s="39"/>
      <c r="X223" s="21">
        <f>K228</f>
        <v>679.14</v>
      </c>
      <c r="Y223" s="23" t="s">
        <v>45</v>
      </c>
    </row>
    <row r="224" spans="1:25" ht="16.5" customHeight="1">
      <c r="A224" s="301" t="s">
        <v>46</v>
      </c>
      <c r="B224" s="306" t="s">
        <v>47</v>
      </c>
      <c r="C224" s="306"/>
      <c r="D224" s="306"/>
      <c r="E224" s="306" t="s">
        <v>48</v>
      </c>
      <c r="F224" s="306"/>
      <c r="G224" s="306"/>
      <c r="H224" s="307" t="s">
        <v>49</v>
      </c>
      <c r="I224" s="2"/>
      <c r="J224" s="301" t="s">
        <v>46</v>
      </c>
      <c r="K224" s="306" t="s">
        <v>50</v>
      </c>
      <c r="L224" s="306"/>
      <c r="M224" s="306"/>
      <c r="N224" s="299" t="s">
        <v>51</v>
      </c>
      <c r="O224" s="299"/>
      <c r="P224" s="299"/>
      <c r="R224" s="7" t="str">
        <f t="shared" si="16"/>
        <v>20/21</v>
      </c>
      <c r="S224" s="2" t="str">
        <f t="shared" si="18"/>
        <v>2140</v>
      </c>
      <c r="T224" s="21" t="s">
        <v>52</v>
      </c>
      <c r="U224" s="21"/>
      <c r="V224" s="39"/>
      <c r="W224" s="39"/>
      <c r="X224" s="21">
        <f>L227</f>
        <v>1109.25</v>
      </c>
      <c r="Y224" s="23" t="s">
        <v>53</v>
      </c>
    </row>
    <row r="225" spans="1:25" ht="16.5" customHeight="1">
      <c r="A225" s="301"/>
      <c r="B225" s="300" t="s">
        <v>54</v>
      </c>
      <c r="C225" s="300" t="s">
        <v>55</v>
      </c>
      <c r="D225" s="300" t="s">
        <v>56</v>
      </c>
      <c r="E225" s="300" t="s">
        <v>54</v>
      </c>
      <c r="F225" s="300" t="s">
        <v>55</v>
      </c>
      <c r="G225" s="300" t="s">
        <v>56</v>
      </c>
      <c r="H225" s="307"/>
      <c r="I225" s="2"/>
      <c r="J225" s="301"/>
      <c r="K225" s="302" t="s">
        <v>57</v>
      </c>
      <c r="L225" s="302" t="s">
        <v>58</v>
      </c>
      <c r="M225" s="302" t="s">
        <v>59</v>
      </c>
      <c r="N225" s="299"/>
      <c r="O225" s="299"/>
      <c r="P225" s="299"/>
      <c r="R225" s="7" t="str">
        <f t="shared" si="16"/>
        <v>20/21</v>
      </c>
      <c r="S225" s="2" t="str">
        <f t="shared" si="18"/>
        <v>2140</v>
      </c>
      <c r="T225" s="21" t="s">
        <v>60</v>
      </c>
      <c r="U225" s="21"/>
      <c r="X225" s="21">
        <f>+L228</f>
        <v>2294.1</v>
      </c>
      <c r="Y225" s="23" t="s">
        <v>61</v>
      </c>
    </row>
    <row r="226" spans="1:25" ht="18" customHeight="1">
      <c r="A226" s="301"/>
      <c r="B226" s="301"/>
      <c r="C226" s="301"/>
      <c r="D226" s="301"/>
      <c r="E226" s="301"/>
      <c r="F226" s="301"/>
      <c r="G226" s="301"/>
      <c r="H226" s="301"/>
      <c r="I226" s="2"/>
      <c r="J226" s="301"/>
      <c r="K226" s="301"/>
      <c r="L226" s="301"/>
      <c r="M226" s="301"/>
      <c r="N226" s="66" t="s">
        <v>62</v>
      </c>
      <c r="O226" s="66" t="s">
        <v>63</v>
      </c>
      <c r="P226" s="66" t="s">
        <v>64</v>
      </c>
      <c r="R226" s="7" t="str">
        <f t="shared" si="16"/>
        <v>20/21</v>
      </c>
      <c r="S226" s="2" t="str">
        <f t="shared" si="18"/>
        <v>2140</v>
      </c>
      <c r="T226" s="21" t="s">
        <v>65</v>
      </c>
      <c r="U226" s="21"/>
      <c r="X226" s="21">
        <f>+M228</f>
        <v>138.6</v>
      </c>
      <c r="Y226" s="23" t="s">
        <v>66</v>
      </c>
    </row>
    <row r="227" spans="1:25" ht="16.5" customHeight="1">
      <c r="A227" s="66" t="s">
        <v>67</v>
      </c>
      <c r="B227" s="68">
        <f>SUM('GTA_-_NR_FB (relatório para o D'!O201)</f>
        <v>628</v>
      </c>
      <c r="C227" s="67">
        <f>SUM('GTA_-_NR_FB (relatório para o D'!P201)</f>
        <v>657</v>
      </c>
      <c r="D227" s="68"/>
      <c r="E227" s="68">
        <v>260</v>
      </c>
      <c r="F227" s="68">
        <v>230</v>
      </c>
      <c r="G227" s="68"/>
      <c r="H227" s="69">
        <f>IF(B227="","",((E227*B227+F227*C227)/SUM(B227:C227)))</f>
        <v>244.6614785992218</v>
      </c>
      <c r="I227" s="2"/>
      <c r="J227" s="66" t="s">
        <v>67</v>
      </c>
      <c r="K227" s="68">
        <f>SUM('GTA_-_NR_FB (relatório para o D'!O208)</f>
        <v>931</v>
      </c>
      <c r="L227" s="68">
        <f>SUM('GTA_-_NR_FB (relatório para o D'!P208)</f>
        <v>1109.25</v>
      </c>
      <c r="M227" s="68">
        <f>SUM('GTA_-_NR_FB (relatório para o D'!Q208)</f>
        <v>7</v>
      </c>
      <c r="N227" s="68"/>
      <c r="O227" s="68"/>
      <c r="P227" s="68"/>
      <c r="R227" s="7" t="str">
        <f t="shared" si="16"/>
        <v>20/21</v>
      </c>
      <c r="S227" s="2" t="str">
        <f t="shared" si="18"/>
        <v>2140</v>
      </c>
      <c r="T227" s="48">
        <v>7006</v>
      </c>
      <c r="U227" s="48"/>
      <c r="X227" s="21">
        <f>N227</f>
        <v>0</v>
      </c>
      <c r="Y227" s="50" t="s">
        <v>68</v>
      </c>
    </row>
    <row r="228" spans="1:25" ht="16.5" customHeight="1">
      <c r="A228" s="66" t="s">
        <v>69</v>
      </c>
      <c r="B228" s="68">
        <f>SUM('GTA_-_NR_FB (relatório para o D'!O202)</f>
        <v>601</v>
      </c>
      <c r="C228" s="67">
        <f>SUM('GTA_-_NR_FB (relatório para o D'!P202)</f>
        <v>515</v>
      </c>
      <c r="D228" s="34"/>
      <c r="E228" s="68">
        <v>230</v>
      </c>
      <c r="F228" s="68">
        <v>210</v>
      </c>
      <c r="G228" s="71"/>
      <c r="H228" s="69">
        <f>IF(B228="","",((E228*B228+F228*C228)/SUM(B228:C228)))</f>
        <v>220.7706093189964</v>
      </c>
      <c r="I228" s="2"/>
      <c r="J228" s="66" t="s">
        <v>69</v>
      </c>
      <c r="K228" s="68">
        <f>SUM('GTA_-_NR_FB (relatório para o D'!O209)</f>
        <v>679.14</v>
      </c>
      <c r="L228" s="68">
        <f>SUM('GTA_-_NR_FB (relatório para o D'!P209)</f>
        <v>2294.1</v>
      </c>
      <c r="M228" s="72">
        <f>SUM('GTA_-_NR_FB (relatório para o D'!Q209)</f>
        <v>138.6</v>
      </c>
      <c r="N228" s="73"/>
      <c r="O228" s="73"/>
      <c r="P228" s="73"/>
      <c r="R228" s="7" t="str">
        <f t="shared" si="16"/>
        <v>20/21</v>
      </c>
      <c r="S228" s="2" t="str">
        <f t="shared" si="18"/>
        <v>2140</v>
      </c>
      <c r="T228" s="48">
        <v>7007</v>
      </c>
      <c r="U228" s="48"/>
      <c r="X228" s="21">
        <f>O227</f>
        <v>0</v>
      </c>
      <c r="Y228" s="50" t="s">
        <v>70</v>
      </c>
    </row>
    <row r="229" spans="1:25" ht="18" customHeight="1">
      <c r="A229" s="35" t="s">
        <v>71</v>
      </c>
      <c r="B229" s="74">
        <f>IF(B221="","",(B228+B227)/B221)</f>
        <v>0.053392996785124686</v>
      </c>
      <c r="C229" s="74">
        <f>IF(B221="","",(C228+C227)/B221)</f>
        <v>0.050916673907376836</v>
      </c>
      <c r="D229" s="74">
        <f>IF(B221="","",(D228+D227)/B221)</f>
        <v>0</v>
      </c>
      <c r="E229" s="297" t="str">
        <f>IF(B221="","",IF(B229+C229+D229&gt;Bovinos_e_Comerc!$AD$5," -&gt; índices (somados) acima da média",IF(B229+C229+D229&lt;Bovinos_e_Comerc!$AD$4," -&gt; índices (somados) abaixo da média","")))</f>
        <v> -&gt; índices (somados) abaixo da média</v>
      </c>
      <c r="F229" s="297"/>
      <c r="G229" s="297"/>
      <c r="H229" s="297"/>
      <c r="I229" s="2"/>
      <c r="J229" s="35" t="s">
        <v>71</v>
      </c>
      <c r="K229" s="75">
        <f>IF(B221="","-",(K228+K227)/B221)</f>
        <v>0.0699513424276653</v>
      </c>
      <c r="L229" s="75">
        <f>IF(B221="","-",(L228+L227)/B221)</f>
        <v>0.14785602571900253</v>
      </c>
      <c r="M229" s="75">
        <f>IF(B221="","-",(M228+M227+O227+N227+P227)/B221)</f>
        <v>0.006325484403510296</v>
      </c>
      <c r="N229" s="298" t="str">
        <f>IF(AND(K229="-",L229="-",M229="-"),"",IF(K229&gt;Bovinos_e_Comerc!$AA$5," -&gt; índice(s) fora da faixa média",IF(K229&lt;Bovinos_e_Comerc!$AA$4," -&gt; índice(s) fora da faixa média",IF(L229&gt;Bovinos_e_Comerc!$AB$5," -&gt; índice(s) fora da faixa média",IF(L229&lt;Bovinos_e_Comerc!$AB$4," -&gt; índice(s) fora da faixa média",IF(M229&gt;Bovinos_e_Comerc!$AC$5," -&gt; índice(s) fora da faixa média",IF(M229&lt;Bovinos_e_Comerc!$AC$4," -&gt; índice(s) fora da faixa média","")))))))</f>
        <v> -&gt; índice(s) fora da faixa média</v>
      </c>
      <c r="O229" s="298"/>
      <c r="P229" s="298"/>
      <c r="R229" s="7" t="str">
        <f t="shared" si="16"/>
        <v>20/21</v>
      </c>
      <c r="S229" s="2" t="str">
        <f t="shared" si="18"/>
        <v>2140</v>
      </c>
      <c r="T229" s="48">
        <v>7008</v>
      </c>
      <c r="U229" s="48"/>
      <c r="X229" s="21">
        <f>P227</f>
        <v>0</v>
      </c>
      <c r="Y229" s="50" t="s">
        <v>72</v>
      </c>
    </row>
    <row r="230" spans="1:25" ht="7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R230" s="7" t="str">
        <f t="shared" si="16"/>
        <v>20/21</v>
      </c>
      <c r="S230" s="2" t="str">
        <f t="shared" si="18"/>
        <v>2140</v>
      </c>
      <c r="T230" s="21" t="s">
        <v>73</v>
      </c>
      <c r="U230" s="21"/>
      <c r="X230" s="21">
        <f>+M227</f>
        <v>7</v>
      </c>
      <c r="Y230" s="23" t="s">
        <v>74</v>
      </c>
    </row>
    <row r="231" spans="1:25" ht="7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R231" s="7" t="str">
        <f t="shared" si="16"/>
        <v>20/21</v>
      </c>
      <c r="S231" s="2" t="str">
        <f t="shared" si="18"/>
        <v>2140</v>
      </c>
      <c r="T231" s="21" t="s">
        <v>75</v>
      </c>
      <c r="U231" s="21">
        <f>+H221</f>
        <v>9985</v>
      </c>
      <c r="X231" s="21"/>
      <c r="Y231" s="23" t="s">
        <v>76</v>
      </c>
    </row>
    <row r="232" spans="1:25" ht="16.5" customHeight="1">
      <c r="A232" s="20" t="s">
        <v>18</v>
      </c>
      <c r="B232" s="20" t="s">
        <v>106</v>
      </c>
      <c r="C232" s="20" t="s">
        <v>107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R232" s="7" t="str">
        <f t="shared" si="16"/>
        <v>20/21</v>
      </c>
      <c r="S232" s="2" t="str">
        <f>+B232</f>
        <v>2160</v>
      </c>
      <c r="T232" s="21">
        <v>7014</v>
      </c>
      <c r="U232" s="21"/>
      <c r="V232" s="2">
        <f>J236</f>
        <v>19004.722</v>
      </c>
      <c r="Y232" s="23" t="s">
        <v>21</v>
      </c>
    </row>
    <row r="233" spans="1:25" ht="6" customHeight="1">
      <c r="A233" s="25"/>
      <c r="B233" s="26"/>
      <c r="C233" s="27"/>
      <c r="D233" s="27"/>
      <c r="E233" s="27"/>
      <c r="F233" s="27"/>
      <c r="G233" s="2"/>
      <c r="H233" s="2"/>
      <c r="I233" s="28"/>
      <c r="J233" s="2"/>
      <c r="K233" s="2"/>
      <c r="L233" s="29"/>
      <c r="M233" s="2"/>
      <c r="N233" s="2"/>
      <c r="O233" s="2"/>
      <c r="P233" s="2"/>
      <c r="R233" s="7" t="str">
        <f t="shared" si="16"/>
        <v>20/21</v>
      </c>
      <c r="S233" s="2" t="str">
        <f aca="true" t="shared" si="19" ref="S233:S246">+S232</f>
        <v>2160</v>
      </c>
      <c r="V233" s="13">
        <f>M236</f>
        <v>9527</v>
      </c>
      <c r="Y233" s="2" t="s">
        <v>22</v>
      </c>
    </row>
    <row r="234" spans="1:25" ht="11.25" customHeight="1">
      <c r="A234" s="34"/>
      <c r="B234" s="299" t="s">
        <v>26</v>
      </c>
      <c r="C234" s="307" t="s">
        <v>27</v>
      </c>
      <c r="D234" s="307"/>
      <c r="E234" s="307" t="s">
        <v>28</v>
      </c>
      <c r="F234" s="307"/>
      <c r="G234" s="34"/>
      <c r="H234" s="307" t="s">
        <v>29</v>
      </c>
      <c r="I234" s="2"/>
      <c r="J234" s="303" t="s">
        <v>30</v>
      </c>
      <c r="K234" s="308"/>
      <c r="L234" s="308"/>
      <c r="M234" s="303" t="s">
        <v>31</v>
      </c>
      <c r="N234" s="36"/>
      <c r="O234" s="2"/>
      <c r="P234" s="303" t="s">
        <v>32</v>
      </c>
      <c r="R234" s="7" t="str">
        <f t="shared" si="16"/>
        <v>20/21</v>
      </c>
      <c r="S234" s="2" t="str">
        <f t="shared" si="19"/>
        <v>2160</v>
      </c>
      <c r="T234" s="21" t="s">
        <v>33</v>
      </c>
      <c r="U234" s="21"/>
      <c r="V234" s="21">
        <f>+B236</f>
        <v>11312</v>
      </c>
      <c r="W234" s="37">
        <f>+H242</f>
        <v>235.05849965588436</v>
      </c>
      <c r="X234" s="21">
        <f>B242+C242</f>
        <v>581.2</v>
      </c>
      <c r="Y234" s="23" t="s">
        <v>34</v>
      </c>
    </row>
    <row r="235" spans="1:25" ht="12" customHeight="1">
      <c r="A235" s="34"/>
      <c r="B235" s="299"/>
      <c r="C235" s="38" t="s">
        <v>36</v>
      </c>
      <c r="D235" s="38" t="s">
        <v>37</v>
      </c>
      <c r="E235" s="38" t="s">
        <v>36</v>
      </c>
      <c r="F235" s="38" t="s">
        <v>37</v>
      </c>
      <c r="G235" s="34"/>
      <c r="H235" s="307"/>
      <c r="I235" s="2"/>
      <c r="J235" s="303"/>
      <c r="K235" s="308"/>
      <c r="L235" s="308"/>
      <c r="M235" s="308"/>
      <c r="N235" s="36"/>
      <c r="O235" s="2"/>
      <c r="P235" s="303"/>
      <c r="R235" s="7" t="str">
        <f t="shared" si="16"/>
        <v>20/21</v>
      </c>
      <c r="S235" s="2" t="str">
        <f t="shared" si="19"/>
        <v>2160</v>
      </c>
      <c r="T235" s="21" t="s">
        <v>38</v>
      </c>
      <c r="U235" s="21"/>
      <c r="V235" s="39"/>
      <c r="W235" s="37">
        <f>H243</f>
        <v>219.7863741339492</v>
      </c>
      <c r="X235" s="21">
        <f>B243+C243</f>
        <v>692.8</v>
      </c>
      <c r="Y235" s="23" t="s">
        <v>39</v>
      </c>
    </row>
    <row r="236" spans="1:25" ht="16.5" customHeight="1">
      <c r="A236" s="299" t="s">
        <v>40</v>
      </c>
      <c r="B236" s="304">
        <f>SUM(Reb__Est__por_faixa_etária!O20)</f>
        <v>11312</v>
      </c>
      <c r="C236" s="40">
        <f>'Leite_-_Produção'!Y23</f>
        <v>0.03765912305516266</v>
      </c>
      <c r="D236" s="40">
        <f>100%-(C236+E236+F236)</f>
        <v>0.7723408769448373</v>
      </c>
      <c r="E236" s="41"/>
      <c r="F236" s="41">
        <v>0.19</v>
      </c>
      <c r="G236" s="34" t="str">
        <f>IF(SUM(C237:F237)=0,"",IF(SUM(C236:F236)&lt;1,"&lt;100%",IF(SUM(C236:F236)&gt;1,"&gt;100%","OK")))</f>
        <v>OK</v>
      </c>
      <c r="H236" s="42">
        <f>Reb__Est__por_faixa_etária!B45</f>
        <v>4040</v>
      </c>
      <c r="I236" s="2"/>
      <c r="J236" s="43">
        <f>'Leite_-_Produção'!R23</f>
        <v>19004.722</v>
      </c>
      <c r="K236" s="44"/>
      <c r="L236" s="305"/>
      <c r="M236" s="45">
        <f>TRUNC(((C237+E237)*Bovinos_e_Comerc!$AD$8)+D237*Bovinos_e_Comerc!$AD$9,0)</f>
        <v>9527</v>
      </c>
      <c r="N236" s="46"/>
      <c r="O236" s="2"/>
      <c r="P236" s="47">
        <f>IF(OR(H236="",B236=""),"-",(D237+F237)/H236)</f>
        <v>2.6945544554455445</v>
      </c>
      <c r="R236" s="7" t="str">
        <f t="shared" si="16"/>
        <v>20/21</v>
      </c>
      <c r="S236" s="2" t="str">
        <f t="shared" si="19"/>
        <v>2160</v>
      </c>
      <c r="T236" s="48">
        <v>7590</v>
      </c>
      <c r="U236" s="48"/>
      <c r="V236" s="39"/>
      <c r="W236" s="49">
        <f>+G242</f>
        <v>0</v>
      </c>
      <c r="X236" s="21">
        <f>D242</f>
        <v>0</v>
      </c>
      <c r="Y236" s="50" t="s">
        <v>41</v>
      </c>
    </row>
    <row r="237" spans="1:25" ht="16.5" customHeight="1">
      <c r="A237" s="299"/>
      <c r="B237" s="304"/>
      <c r="C237" s="53">
        <f>+C236*B236</f>
        <v>426.00000000000006</v>
      </c>
      <c r="D237" s="53">
        <f>+D236*B236</f>
        <v>8736.72</v>
      </c>
      <c r="E237" s="53">
        <f>+E236*B236</f>
        <v>0</v>
      </c>
      <c r="F237" s="53">
        <f>+F236*B236</f>
        <v>2149.28</v>
      </c>
      <c r="G237" s="34"/>
      <c r="H237" s="34"/>
      <c r="I237" s="2"/>
      <c r="J237" s="34"/>
      <c r="K237" s="34"/>
      <c r="L237" s="305"/>
      <c r="M237" s="34"/>
      <c r="N237" s="34"/>
      <c r="O237" s="34"/>
      <c r="P237" s="34"/>
      <c r="R237" s="7" t="str">
        <f t="shared" si="16"/>
        <v>20/21</v>
      </c>
      <c r="S237" s="2" t="str">
        <f t="shared" si="19"/>
        <v>2160</v>
      </c>
      <c r="T237" s="21" t="s">
        <v>42</v>
      </c>
      <c r="U237" s="21"/>
      <c r="V237" s="39"/>
      <c r="W237" s="39"/>
      <c r="X237" s="21">
        <f>K242</f>
        <v>365.17</v>
      </c>
      <c r="Y237" s="23" t="s">
        <v>43</v>
      </c>
    </row>
    <row r="238" spans="1:25" ht="4.5" customHeight="1">
      <c r="A238" s="77"/>
      <c r="B238" s="78"/>
      <c r="C238" s="79"/>
      <c r="D238" s="79"/>
      <c r="E238" s="79"/>
      <c r="F238" s="79"/>
      <c r="G238" s="79"/>
      <c r="H238" s="34"/>
      <c r="I238" s="28"/>
      <c r="J238" s="34"/>
      <c r="K238" s="34"/>
      <c r="L238" s="80"/>
      <c r="M238" s="34"/>
      <c r="N238" s="34"/>
      <c r="O238" s="34"/>
      <c r="P238" s="34"/>
      <c r="R238" s="7" t="str">
        <f t="shared" si="16"/>
        <v>20/21</v>
      </c>
      <c r="S238" s="2" t="str">
        <f t="shared" si="19"/>
        <v>2160</v>
      </c>
      <c r="T238" s="21" t="s">
        <v>44</v>
      </c>
      <c r="U238" s="21"/>
      <c r="V238" s="39"/>
      <c r="W238" s="39"/>
      <c r="X238" s="21">
        <f>K243</f>
        <v>316.54</v>
      </c>
      <c r="Y238" s="23" t="s">
        <v>45</v>
      </c>
    </row>
    <row r="239" spans="1:25" ht="16.5" customHeight="1">
      <c r="A239" s="301" t="s">
        <v>46</v>
      </c>
      <c r="B239" s="306" t="s">
        <v>47</v>
      </c>
      <c r="C239" s="306"/>
      <c r="D239" s="306"/>
      <c r="E239" s="306" t="s">
        <v>48</v>
      </c>
      <c r="F239" s="306"/>
      <c r="G239" s="306"/>
      <c r="H239" s="307" t="s">
        <v>49</v>
      </c>
      <c r="I239" s="2"/>
      <c r="J239" s="301" t="s">
        <v>46</v>
      </c>
      <c r="K239" s="306" t="s">
        <v>50</v>
      </c>
      <c r="L239" s="306"/>
      <c r="M239" s="306"/>
      <c r="N239" s="299" t="s">
        <v>51</v>
      </c>
      <c r="O239" s="299"/>
      <c r="P239" s="299"/>
      <c r="R239" s="7" t="str">
        <f t="shared" si="16"/>
        <v>20/21</v>
      </c>
      <c r="S239" s="2" t="str">
        <f t="shared" si="19"/>
        <v>2160</v>
      </c>
      <c r="T239" s="21" t="s">
        <v>52</v>
      </c>
      <c r="U239" s="21"/>
      <c r="V239" s="39"/>
      <c r="W239" s="39"/>
      <c r="X239" s="21">
        <f>L242</f>
        <v>211.5</v>
      </c>
      <c r="Y239" s="23" t="s">
        <v>53</v>
      </c>
    </row>
    <row r="240" spans="1:25" ht="16.5" customHeight="1">
      <c r="A240" s="301"/>
      <c r="B240" s="300" t="s">
        <v>54</v>
      </c>
      <c r="C240" s="300" t="s">
        <v>55</v>
      </c>
      <c r="D240" s="300" t="s">
        <v>56</v>
      </c>
      <c r="E240" s="300" t="s">
        <v>54</v>
      </c>
      <c r="F240" s="300" t="s">
        <v>55</v>
      </c>
      <c r="G240" s="300" t="s">
        <v>56</v>
      </c>
      <c r="H240" s="307"/>
      <c r="I240" s="2"/>
      <c r="J240" s="301"/>
      <c r="K240" s="302" t="s">
        <v>57</v>
      </c>
      <c r="L240" s="302" t="s">
        <v>58</v>
      </c>
      <c r="M240" s="302" t="s">
        <v>59</v>
      </c>
      <c r="N240" s="299"/>
      <c r="O240" s="299"/>
      <c r="P240" s="299"/>
      <c r="R240" s="7" t="str">
        <f t="shared" si="16"/>
        <v>20/21</v>
      </c>
      <c r="S240" s="2" t="str">
        <f t="shared" si="19"/>
        <v>2160</v>
      </c>
      <c r="T240" s="21" t="s">
        <v>60</v>
      </c>
      <c r="U240" s="21"/>
      <c r="X240" s="21">
        <f>+L243</f>
        <v>727.88</v>
      </c>
      <c r="Y240" s="23" t="s">
        <v>61</v>
      </c>
    </row>
    <row r="241" spans="1:25" ht="18" customHeight="1">
      <c r="A241" s="301"/>
      <c r="B241" s="301"/>
      <c r="C241" s="301"/>
      <c r="D241" s="301"/>
      <c r="E241" s="301"/>
      <c r="F241" s="301"/>
      <c r="G241" s="301"/>
      <c r="H241" s="301"/>
      <c r="I241" s="2"/>
      <c r="J241" s="301"/>
      <c r="K241" s="301"/>
      <c r="L241" s="301"/>
      <c r="M241" s="301"/>
      <c r="N241" s="66" t="s">
        <v>62</v>
      </c>
      <c r="O241" s="66" t="s">
        <v>63</v>
      </c>
      <c r="P241" s="66" t="s">
        <v>64</v>
      </c>
      <c r="R241" s="7" t="str">
        <f t="shared" si="16"/>
        <v>20/21</v>
      </c>
      <c r="S241" s="2" t="str">
        <f t="shared" si="19"/>
        <v>2160</v>
      </c>
      <c r="T241" s="21" t="s">
        <v>65</v>
      </c>
      <c r="U241" s="21"/>
      <c r="X241" s="21">
        <f>+M243</f>
        <v>98</v>
      </c>
      <c r="Y241" s="23" t="s">
        <v>66</v>
      </c>
    </row>
    <row r="242" spans="1:25" ht="16.5" customHeight="1">
      <c r="A242" s="66" t="s">
        <v>67</v>
      </c>
      <c r="B242" s="68">
        <f>SUM('GTA_-_NR_FB (relatório para o D'!O215)</f>
        <v>98</v>
      </c>
      <c r="C242" s="67">
        <f>SUM('GTA_-_NR_FB (relatório para o D'!P215)</f>
        <v>483.20000000000005</v>
      </c>
      <c r="D242" s="68"/>
      <c r="E242" s="68">
        <v>260</v>
      </c>
      <c r="F242" s="68">
        <v>230</v>
      </c>
      <c r="G242" s="68"/>
      <c r="H242" s="69">
        <f>IF(B242="","",((E242*B242+F242*C242)/SUM(B242:C242)))</f>
        <v>235.05849965588436</v>
      </c>
      <c r="I242" s="2"/>
      <c r="J242" s="66" t="s">
        <v>67</v>
      </c>
      <c r="K242" s="68">
        <f>SUM('GTA_-_NR_FB (relatório para o D'!O222)</f>
        <v>365.17</v>
      </c>
      <c r="L242" s="68">
        <f>SUM('GTA_-_NR_FB (relatório para o D'!P222)</f>
        <v>211.5</v>
      </c>
      <c r="M242" s="68">
        <f>SUM('GTA_-_NR_FB (relatório para o D'!Q222)</f>
        <v>1</v>
      </c>
      <c r="N242" s="68"/>
      <c r="O242" s="68"/>
      <c r="P242" s="68"/>
      <c r="R242" s="7" t="str">
        <f t="shared" si="16"/>
        <v>20/21</v>
      </c>
      <c r="S242" s="2" t="str">
        <f t="shared" si="19"/>
        <v>2160</v>
      </c>
      <c r="T242" s="48">
        <v>7006</v>
      </c>
      <c r="U242" s="48"/>
      <c r="X242" s="21">
        <f>N242</f>
        <v>0</v>
      </c>
      <c r="Y242" s="50" t="s">
        <v>68</v>
      </c>
    </row>
    <row r="243" spans="1:25" ht="16.5" customHeight="1">
      <c r="A243" s="66" t="s">
        <v>69</v>
      </c>
      <c r="B243" s="68">
        <f>SUM('GTA_-_NR_FB (relatório para o D'!O216)</f>
        <v>339</v>
      </c>
      <c r="C243" s="67">
        <f>SUM('GTA_-_NR_FB (relatório para o D'!P216)</f>
        <v>353.8</v>
      </c>
      <c r="D243" s="34"/>
      <c r="E243" s="68">
        <v>230</v>
      </c>
      <c r="F243" s="68">
        <v>210</v>
      </c>
      <c r="G243" s="71"/>
      <c r="H243" s="69">
        <f>IF(B243="","",((E243*B243+F243*C243)/SUM(B243:C243)))</f>
        <v>219.7863741339492</v>
      </c>
      <c r="I243" s="2"/>
      <c r="J243" s="66" t="s">
        <v>69</v>
      </c>
      <c r="K243" s="68">
        <f>SUM('GTA_-_NR_FB (relatório para o D'!O223)</f>
        <v>316.54</v>
      </c>
      <c r="L243" s="68">
        <f>SUM('GTA_-_NR_FB (relatório para o D'!P223)</f>
        <v>727.88</v>
      </c>
      <c r="M243" s="72">
        <f>SUM('GTA_-_NR_FB (relatório para o D'!Q223)</f>
        <v>98</v>
      </c>
      <c r="N243" s="73"/>
      <c r="O243" s="73"/>
      <c r="P243" s="73"/>
      <c r="R243" s="7" t="str">
        <f t="shared" si="16"/>
        <v>20/21</v>
      </c>
      <c r="S243" s="2" t="str">
        <f t="shared" si="19"/>
        <v>2160</v>
      </c>
      <c r="T243" s="48">
        <v>7007</v>
      </c>
      <c r="U243" s="48"/>
      <c r="X243" s="21">
        <f>O242</f>
        <v>0</v>
      </c>
      <c r="Y243" s="50" t="s">
        <v>70</v>
      </c>
    </row>
    <row r="244" spans="1:25" ht="18" customHeight="1">
      <c r="A244" s="35" t="s">
        <v>71</v>
      </c>
      <c r="B244" s="74">
        <f>IF(B236="","",(B243+B242)/B236)</f>
        <v>0.03863154172560113</v>
      </c>
      <c r="C244" s="74">
        <f>IF(B236="","",(C243+C242)/B236)</f>
        <v>0.07399222065063649</v>
      </c>
      <c r="D244" s="74">
        <f>IF(B236="","",(D243+D242)/B236)</f>
        <v>0</v>
      </c>
      <c r="E244" s="297">
        <f>IF(B236="","",IF(B244+C244+D244&gt;Bovinos_e_Comerc!$AD$5," -&gt; índices (somados) acima da média",IF(B244+C244+D244&lt;Bovinos_e_Comerc!$AD$4," -&gt; índices (somados) abaixo da média","")))</f>
      </c>
      <c r="F244" s="297"/>
      <c r="G244" s="297"/>
      <c r="H244" s="297"/>
      <c r="I244" s="2"/>
      <c r="J244" s="35" t="s">
        <v>71</v>
      </c>
      <c r="K244" s="75">
        <f>IF(B236="","-",(K243+K242)/B236)</f>
        <v>0.06026432107496464</v>
      </c>
      <c r="L244" s="75">
        <f>IF(B236="","-",(L243+L242)/B236)</f>
        <v>0.08304278642149929</v>
      </c>
      <c r="M244" s="75">
        <f>IF(B236="","-",(M243+M242+O242+N242+P242)/B236)</f>
        <v>0.008751768033946252</v>
      </c>
      <c r="N244" s="298" t="str">
        <f>IF(AND(K244="-",L244="-",M244="-"),"",IF(K244&gt;Bovinos_e_Comerc!$AA$5," -&gt; índice(s) fora da faixa média",IF(K244&lt;Bovinos_e_Comerc!$AA$4," -&gt; índice(s) fora da faixa média",IF(L244&gt;Bovinos_e_Comerc!$AB$5," -&gt; índice(s) fora da faixa média",IF(L244&lt;Bovinos_e_Comerc!$AB$4," -&gt; índice(s) fora da faixa média",IF(M244&gt;Bovinos_e_Comerc!$AC$5," -&gt; índice(s) fora da faixa média",IF(M244&lt;Bovinos_e_Comerc!$AC$4," -&gt; índice(s) fora da faixa média","")))))))</f>
        <v> -&gt; índice(s) fora da faixa média</v>
      </c>
      <c r="O244" s="298"/>
      <c r="P244" s="298"/>
      <c r="R244" s="7" t="str">
        <f t="shared" si="16"/>
        <v>20/21</v>
      </c>
      <c r="S244" s="2" t="str">
        <f t="shared" si="19"/>
        <v>2160</v>
      </c>
      <c r="T244" s="48">
        <v>7008</v>
      </c>
      <c r="U244" s="48"/>
      <c r="X244" s="21">
        <f>P242</f>
        <v>0</v>
      </c>
      <c r="Y244" s="50" t="s">
        <v>72</v>
      </c>
    </row>
    <row r="245" spans="1:25" ht="7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R245" s="7" t="str">
        <f t="shared" si="16"/>
        <v>20/21</v>
      </c>
      <c r="S245" s="2" t="str">
        <f t="shared" si="19"/>
        <v>2160</v>
      </c>
      <c r="T245" s="21" t="s">
        <v>73</v>
      </c>
      <c r="U245" s="21"/>
      <c r="X245" s="21">
        <f>+M242</f>
        <v>1</v>
      </c>
      <c r="Y245" s="23" t="s">
        <v>74</v>
      </c>
    </row>
    <row r="246" spans="1:25" ht="7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R246" s="7" t="str">
        <f t="shared" si="16"/>
        <v>20/21</v>
      </c>
      <c r="S246" s="2" t="str">
        <f t="shared" si="19"/>
        <v>2160</v>
      </c>
      <c r="T246" s="21" t="s">
        <v>75</v>
      </c>
      <c r="U246" s="21">
        <f>+H236</f>
        <v>4040</v>
      </c>
      <c r="X246" s="21"/>
      <c r="Y246" s="23" t="s">
        <v>76</v>
      </c>
    </row>
    <row r="247" spans="1:25" ht="16.5" customHeight="1">
      <c r="A247" s="20" t="s">
        <v>18</v>
      </c>
      <c r="B247" s="20" t="s">
        <v>108</v>
      </c>
      <c r="C247" s="20" t="s">
        <v>109</v>
      </c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R247" s="7" t="str">
        <f t="shared" si="16"/>
        <v>20/21</v>
      </c>
      <c r="S247" s="2" t="str">
        <f>+B247</f>
        <v>2280</v>
      </c>
      <c r="T247" s="21">
        <v>7014</v>
      </c>
      <c r="U247" s="21"/>
      <c r="V247" s="2">
        <f>J251</f>
        <v>21502.922</v>
      </c>
      <c r="Y247" s="23" t="s">
        <v>21</v>
      </c>
    </row>
    <row r="248" spans="1:25" ht="6" customHeight="1">
      <c r="A248" s="25"/>
      <c r="B248" s="26"/>
      <c r="C248" s="27"/>
      <c r="D248" s="27"/>
      <c r="E248" s="27"/>
      <c r="F248" s="27"/>
      <c r="G248" s="2"/>
      <c r="H248" s="2"/>
      <c r="I248" s="28"/>
      <c r="J248" s="2"/>
      <c r="K248" s="2"/>
      <c r="L248" s="29"/>
      <c r="M248" s="2"/>
      <c r="N248" s="2"/>
      <c r="O248" s="2"/>
      <c r="P248" s="2"/>
      <c r="R248" s="7" t="str">
        <f t="shared" si="16"/>
        <v>20/21</v>
      </c>
      <c r="S248" s="2" t="str">
        <f aca="true" t="shared" si="20" ref="S248:S261">+S247</f>
        <v>2280</v>
      </c>
      <c r="V248" s="13">
        <f>M251</f>
        <v>18672</v>
      </c>
      <c r="Y248" s="2" t="s">
        <v>22</v>
      </c>
    </row>
    <row r="249" spans="1:25" ht="11.25" customHeight="1">
      <c r="A249" s="34"/>
      <c r="B249" s="299" t="s">
        <v>26</v>
      </c>
      <c r="C249" s="307" t="s">
        <v>27</v>
      </c>
      <c r="D249" s="307"/>
      <c r="E249" s="307" t="s">
        <v>28</v>
      </c>
      <c r="F249" s="307"/>
      <c r="G249" s="34"/>
      <c r="H249" s="307" t="s">
        <v>29</v>
      </c>
      <c r="I249" s="2"/>
      <c r="J249" s="303" t="s">
        <v>30</v>
      </c>
      <c r="K249" s="308"/>
      <c r="L249" s="308"/>
      <c r="M249" s="303" t="s">
        <v>31</v>
      </c>
      <c r="N249" s="36"/>
      <c r="O249" s="2"/>
      <c r="P249" s="303" t="s">
        <v>32</v>
      </c>
      <c r="R249" s="7" t="str">
        <f t="shared" si="16"/>
        <v>20/21</v>
      </c>
      <c r="S249" s="2" t="str">
        <f t="shared" si="20"/>
        <v>2280</v>
      </c>
      <c r="T249" s="21" t="s">
        <v>33</v>
      </c>
      <c r="U249" s="21"/>
      <c r="V249" s="21">
        <f>+B251</f>
        <v>21297</v>
      </c>
      <c r="W249" s="37">
        <f>+H257</f>
        <v>244.09512761020878</v>
      </c>
      <c r="X249" s="21">
        <f>B257+C257</f>
        <v>1206.8000000000002</v>
      </c>
      <c r="Y249" s="23" t="s">
        <v>34</v>
      </c>
    </row>
    <row r="250" spans="1:25" ht="12" customHeight="1">
      <c r="A250" s="34"/>
      <c r="B250" s="299"/>
      <c r="C250" s="38" t="s">
        <v>36</v>
      </c>
      <c r="D250" s="38" t="s">
        <v>37</v>
      </c>
      <c r="E250" s="38" t="s">
        <v>36</v>
      </c>
      <c r="F250" s="38" t="s">
        <v>37</v>
      </c>
      <c r="G250" s="34"/>
      <c r="H250" s="307"/>
      <c r="I250" s="2"/>
      <c r="J250" s="303"/>
      <c r="K250" s="308"/>
      <c r="L250" s="308"/>
      <c r="M250" s="308"/>
      <c r="N250" s="36"/>
      <c r="O250" s="2"/>
      <c r="P250" s="303"/>
      <c r="R250" s="7" t="str">
        <f t="shared" si="16"/>
        <v>20/21</v>
      </c>
      <c r="S250" s="2" t="str">
        <f t="shared" si="20"/>
        <v>2280</v>
      </c>
      <c r="T250" s="21" t="s">
        <v>38</v>
      </c>
      <c r="U250" s="21"/>
      <c r="V250" s="76"/>
      <c r="W250" s="37">
        <f>H258</f>
        <v>220.2751886373724</v>
      </c>
      <c r="X250" s="21">
        <f>B258+C258</f>
        <v>901.2</v>
      </c>
      <c r="Y250" s="23" t="s">
        <v>39</v>
      </c>
    </row>
    <row r="251" spans="1:25" ht="16.5" customHeight="1">
      <c r="A251" s="299" t="s">
        <v>40</v>
      </c>
      <c r="B251" s="304">
        <f>SUM(Reb__Est__por_faixa_etária!O21)</f>
        <v>21297</v>
      </c>
      <c r="C251" s="40">
        <f>'Leite_-_Produção'!Y24</f>
        <v>0.006949335587171902</v>
      </c>
      <c r="D251" s="40">
        <f>100%-(C251+E251+F251)</f>
        <v>0.7730506644128281</v>
      </c>
      <c r="E251" s="41">
        <v>0.04</v>
      </c>
      <c r="F251" s="41">
        <v>0.18</v>
      </c>
      <c r="G251" s="34" t="str">
        <f>IF(SUM(C252:F252)=0,"",IF(SUM(C251:F251)&lt;1,"&lt;100%",IF(SUM(C251:F251)&gt;1,"&gt;100%","OK")))</f>
        <v>OK</v>
      </c>
      <c r="H251" s="42">
        <f>Reb__Est__por_faixa_etária!B46</f>
        <v>8240</v>
      </c>
      <c r="I251" s="2"/>
      <c r="J251" s="43">
        <f>'Leite_-_Produção'!R24</f>
        <v>21502.922</v>
      </c>
      <c r="K251" s="44"/>
      <c r="L251" s="305"/>
      <c r="M251" s="45">
        <f>TRUNC(((C252+E252)*Bovinos_e_Comerc!$AD$8)+D252*Bovinos_e_Comerc!$AD$9,0)</f>
        <v>18672</v>
      </c>
      <c r="N251" s="46"/>
      <c r="O251" s="2"/>
      <c r="P251" s="47">
        <f>IF(OR(H251="",B251=""),"-",(D252+F252)/H251)</f>
        <v>2.463242718446602</v>
      </c>
      <c r="R251" s="7" t="str">
        <f t="shared" si="16"/>
        <v>20/21</v>
      </c>
      <c r="S251" s="2" t="str">
        <f t="shared" si="20"/>
        <v>2280</v>
      </c>
      <c r="T251" s="48">
        <v>7590</v>
      </c>
      <c r="U251" s="48"/>
      <c r="V251" s="76"/>
      <c r="W251" s="49">
        <f>+G257</f>
        <v>0</v>
      </c>
      <c r="X251" s="21">
        <f>D257</f>
        <v>0</v>
      </c>
      <c r="Y251" s="50" t="s">
        <v>41</v>
      </c>
    </row>
    <row r="252" spans="1:25" ht="16.5" customHeight="1">
      <c r="A252" s="299"/>
      <c r="B252" s="304"/>
      <c r="C252" s="53">
        <f>+C251*B251</f>
        <v>148</v>
      </c>
      <c r="D252" s="53">
        <f>+D251*B251</f>
        <v>16463.66</v>
      </c>
      <c r="E252" s="53">
        <f>+E251*B251</f>
        <v>851.88</v>
      </c>
      <c r="F252" s="53">
        <f>+F251*B251</f>
        <v>3833.46</v>
      </c>
      <c r="G252" s="34"/>
      <c r="H252" s="34"/>
      <c r="I252" s="2"/>
      <c r="J252" s="34"/>
      <c r="K252" s="34"/>
      <c r="L252" s="305"/>
      <c r="M252" s="34"/>
      <c r="N252" s="34"/>
      <c r="O252" s="34"/>
      <c r="P252" s="34"/>
      <c r="R252" s="7" t="str">
        <f t="shared" si="16"/>
        <v>20/21</v>
      </c>
      <c r="S252" s="2" t="str">
        <f t="shared" si="20"/>
        <v>2280</v>
      </c>
      <c r="T252" s="21" t="s">
        <v>42</v>
      </c>
      <c r="U252" s="21"/>
      <c r="V252" s="76"/>
      <c r="W252" s="76"/>
      <c r="X252" s="21">
        <f>K257</f>
        <v>1706.88</v>
      </c>
      <c r="Y252" s="23" t="s">
        <v>43</v>
      </c>
    </row>
    <row r="253" spans="1:25" ht="4.5" customHeight="1">
      <c r="A253" s="77"/>
      <c r="B253" s="78"/>
      <c r="C253" s="79"/>
      <c r="D253" s="79"/>
      <c r="E253" s="79"/>
      <c r="F253" s="79"/>
      <c r="G253" s="79"/>
      <c r="H253" s="34"/>
      <c r="I253" s="28"/>
      <c r="J253" s="34"/>
      <c r="K253" s="34"/>
      <c r="L253" s="80"/>
      <c r="M253" s="34"/>
      <c r="N253" s="34"/>
      <c r="O253" s="34"/>
      <c r="P253" s="34"/>
      <c r="R253" s="7" t="str">
        <f t="shared" si="16"/>
        <v>20/21</v>
      </c>
      <c r="S253" s="2" t="str">
        <f t="shared" si="20"/>
        <v>2280</v>
      </c>
      <c r="T253" s="21" t="s">
        <v>44</v>
      </c>
      <c r="U253" s="21"/>
      <c r="V253" s="76"/>
      <c r="W253" s="76"/>
      <c r="X253" s="21">
        <f>K258</f>
        <v>1124.75</v>
      </c>
      <c r="Y253" s="23" t="s">
        <v>45</v>
      </c>
    </row>
    <row r="254" spans="1:25" ht="16.5" customHeight="1">
      <c r="A254" s="301" t="s">
        <v>46</v>
      </c>
      <c r="B254" s="306" t="s">
        <v>47</v>
      </c>
      <c r="C254" s="306"/>
      <c r="D254" s="306"/>
      <c r="E254" s="306" t="s">
        <v>48</v>
      </c>
      <c r="F254" s="306"/>
      <c r="G254" s="306"/>
      <c r="H254" s="307" t="s">
        <v>49</v>
      </c>
      <c r="I254" s="2"/>
      <c r="J254" s="301" t="s">
        <v>46</v>
      </c>
      <c r="K254" s="306" t="s">
        <v>50</v>
      </c>
      <c r="L254" s="306"/>
      <c r="M254" s="306"/>
      <c r="N254" s="299" t="s">
        <v>51</v>
      </c>
      <c r="O254" s="299"/>
      <c r="P254" s="299"/>
      <c r="R254" s="7" t="str">
        <f t="shared" si="16"/>
        <v>20/21</v>
      </c>
      <c r="S254" s="2" t="str">
        <f t="shared" si="20"/>
        <v>2280</v>
      </c>
      <c r="T254" s="21" t="s">
        <v>52</v>
      </c>
      <c r="U254" s="21"/>
      <c r="V254" s="76"/>
      <c r="W254" s="76"/>
      <c r="X254" s="21">
        <f>L257</f>
        <v>1390.4</v>
      </c>
      <c r="Y254" s="23" t="s">
        <v>53</v>
      </c>
    </row>
    <row r="255" spans="1:25" ht="16.5" customHeight="1">
      <c r="A255" s="301"/>
      <c r="B255" s="300" t="s">
        <v>54</v>
      </c>
      <c r="C255" s="300" t="s">
        <v>55</v>
      </c>
      <c r="D255" s="300" t="s">
        <v>56</v>
      </c>
      <c r="E255" s="300" t="s">
        <v>54</v>
      </c>
      <c r="F255" s="300" t="s">
        <v>55</v>
      </c>
      <c r="G255" s="300" t="s">
        <v>56</v>
      </c>
      <c r="H255" s="307"/>
      <c r="I255" s="2"/>
      <c r="J255" s="301"/>
      <c r="K255" s="302" t="s">
        <v>57</v>
      </c>
      <c r="L255" s="302" t="s">
        <v>58</v>
      </c>
      <c r="M255" s="302" t="s">
        <v>59</v>
      </c>
      <c r="N255" s="299"/>
      <c r="O255" s="299"/>
      <c r="P255" s="299"/>
      <c r="R255" s="7" t="str">
        <f t="shared" si="16"/>
        <v>20/21</v>
      </c>
      <c r="S255" s="2" t="str">
        <f t="shared" si="20"/>
        <v>2280</v>
      </c>
      <c r="T255" s="21" t="s">
        <v>60</v>
      </c>
      <c r="U255" s="21"/>
      <c r="X255" s="21">
        <f>+L258</f>
        <v>2782.0499999999997</v>
      </c>
      <c r="Y255" s="23" t="s">
        <v>61</v>
      </c>
    </row>
    <row r="256" spans="1:25" ht="18" customHeight="1">
      <c r="A256" s="301"/>
      <c r="B256" s="301"/>
      <c r="C256" s="301"/>
      <c r="D256" s="301"/>
      <c r="E256" s="301"/>
      <c r="F256" s="301"/>
      <c r="G256" s="301"/>
      <c r="H256" s="301"/>
      <c r="I256" s="2"/>
      <c r="J256" s="301"/>
      <c r="K256" s="301"/>
      <c r="L256" s="301"/>
      <c r="M256" s="301"/>
      <c r="N256" s="66" t="s">
        <v>62</v>
      </c>
      <c r="O256" s="66" t="s">
        <v>63</v>
      </c>
      <c r="P256" s="66" t="s">
        <v>64</v>
      </c>
      <c r="R256" s="7" t="str">
        <f t="shared" si="16"/>
        <v>20/21</v>
      </c>
      <c r="S256" s="2" t="str">
        <f t="shared" si="20"/>
        <v>2280</v>
      </c>
      <c r="T256" s="21" t="s">
        <v>65</v>
      </c>
      <c r="U256" s="21"/>
      <c r="X256" s="21">
        <f>+M258</f>
        <v>103.6</v>
      </c>
      <c r="Y256" s="23" t="s">
        <v>66</v>
      </c>
    </row>
    <row r="257" spans="1:25" ht="16.5" customHeight="1">
      <c r="A257" s="66" t="s">
        <v>67</v>
      </c>
      <c r="B257" s="68">
        <f>SUM('GTA_-_NR_FB (relatório para o D'!O229)</f>
        <v>567</v>
      </c>
      <c r="C257" s="67">
        <f>SUM('GTA_-_NR_FB (relatório para o D'!P229)</f>
        <v>639.8000000000001</v>
      </c>
      <c r="D257" s="68"/>
      <c r="E257" s="68">
        <v>260</v>
      </c>
      <c r="F257" s="68">
        <v>230</v>
      </c>
      <c r="G257" s="68"/>
      <c r="H257" s="69">
        <f>IF(B257="","",((E257*B257+F257*C257)/SUM(B257:C257)))</f>
        <v>244.09512761020878</v>
      </c>
      <c r="I257" s="2"/>
      <c r="J257" s="66" t="s">
        <v>67</v>
      </c>
      <c r="K257" s="68">
        <f>SUM('GTA_-_NR_FB (relatório para o D'!O236)</f>
        <v>1706.88</v>
      </c>
      <c r="L257" s="68">
        <f>SUM('GTA_-_NR_FB (relatório para o D'!P236)</f>
        <v>1390.4</v>
      </c>
      <c r="M257" s="68">
        <f>SUM('GTA_-_NR_FB (relatório para o D'!Q236)</f>
        <v>5</v>
      </c>
      <c r="N257" s="68"/>
      <c r="O257" s="68"/>
      <c r="P257" s="68"/>
      <c r="R257" s="7" t="str">
        <f t="shared" si="16"/>
        <v>20/21</v>
      </c>
      <c r="S257" s="2" t="str">
        <f t="shared" si="20"/>
        <v>2280</v>
      </c>
      <c r="T257" s="48">
        <v>7006</v>
      </c>
      <c r="U257" s="48"/>
      <c r="X257" s="21">
        <f>N257</f>
        <v>0</v>
      </c>
      <c r="Y257" s="50" t="s">
        <v>68</v>
      </c>
    </row>
    <row r="258" spans="1:25" ht="16.5" customHeight="1">
      <c r="A258" s="66" t="s">
        <v>69</v>
      </c>
      <c r="B258" s="68">
        <f>SUM('GTA_-_NR_FB (relatório para o D'!O230)</f>
        <v>463</v>
      </c>
      <c r="C258" s="67">
        <f>SUM('GTA_-_NR_FB (relatório para o D'!P230)</f>
        <v>438.20000000000005</v>
      </c>
      <c r="D258" s="34"/>
      <c r="E258" s="68">
        <v>230</v>
      </c>
      <c r="F258" s="68">
        <v>210</v>
      </c>
      <c r="G258" s="71"/>
      <c r="H258" s="69">
        <f>IF(B258="","",((E258*B258+F258*C258)/SUM(B258:C258)))</f>
        <v>220.2751886373724</v>
      </c>
      <c r="I258" s="2"/>
      <c r="J258" s="66" t="s">
        <v>69</v>
      </c>
      <c r="K258" s="68">
        <f>SUM('GTA_-_NR_FB (relatório para o D'!O237)</f>
        <v>1124.75</v>
      </c>
      <c r="L258" s="68">
        <f>SUM('GTA_-_NR_FB (relatório para o D'!P237)</f>
        <v>2782.0499999999997</v>
      </c>
      <c r="M258" s="72">
        <f>SUM('GTA_-_NR_FB (relatório para o D'!Q237)</f>
        <v>103.6</v>
      </c>
      <c r="N258" s="73"/>
      <c r="O258" s="73"/>
      <c r="P258" s="73"/>
      <c r="R258" s="7" t="str">
        <f t="shared" si="16"/>
        <v>20/21</v>
      </c>
      <c r="S258" s="2" t="str">
        <f t="shared" si="20"/>
        <v>2280</v>
      </c>
      <c r="T258" s="48">
        <v>7007</v>
      </c>
      <c r="U258" s="48"/>
      <c r="X258" s="21">
        <f>O257</f>
        <v>0</v>
      </c>
      <c r="Y258" s="50" t="s">
        <v>70</v>
      </c>
    </row>
    <row r="259" spans="1:25" ht="18" customHeight="1">
      <c r="A259" s="35" t="s">
        <v>71</v>
      </c>
      <c r="B259" s="74">
        <f>IF(B251="","",(B258+B257)/B251)</f>
        <v>0.04836361928910175</v>
      </c>
      <c r="C259" s="74">
        <f>IF(B251="","",(C258+C257)/B251)</f>
        <v>0.05061745785791426</v>
      </c>
      <c r="D259" s="74">
        <f>IF(B251="","",(D258+D257)/B251)</f>
        <v>0</v>
      </c>
      <c r="E259" s="297" t="str">
        <f>IF(B251="","",IF(B259+C259+D259&gt;Bovinos_e_Comerc!$AD$5," -&gt; índices (somados) acima da média",IF(B259+C259+D259&lt;Bovinos_e_Comerc!$AD$4," -&gt; índices (somados) abaixo da média","")))</f>
        <v> -&gt; índices (somados) abaixo da média</v>
      </c>
      <c r="F259" s="297"/>
      <c r="G259" s="297"/>
      <c r="H259" s="297"/>
      <c r="I259" s="2"/>
      <c r="J259" s="35" t="s">
        <v>71</v>
      </c>
      <c r="K259" s="75">
        <f>IF(B251="","-",(K258+K257)/B251)</f>
        <v>0.1329591022209701</v>
      </c>
      <c r="L259" s="75">
        <f>IF(B251="","-",(L258+L257)/B251)</f>
        <v>0.1959172653425365</v>
      </c>
      <c r="M259" s="75">
        <f>IF(B251="","-",(M258+M257+O257+N257+P257)/B251)</f>
        <v>0.005099309761938301</v>
      </c>
      <c r="N259" s="298" t="str">
        <f>IF(AND(K259="-",L259="-",M259="-"),"",IF(K259&gt;Bovinos_e_Comerc!$AA$5," -&gt; índice(s) fora da faixa média",IF(K259&lt;Bovinos_e_Comerc!$AA$4," -&gt; índice(s) fora da faixa média",IF(L259&gt;Bovinos_e_Comerc!$AB$5," -&gt; índice(s) fora da faixa média",IF(L259&lt;Bovinos_e_Comerc!$AB$4," -&gt; índice(s) fora da faixa média",IF(M259&gt;Bovinos_e_Comerc!$AC$5," -&gt; índice(s) fora da faixa média",IF(M259&lt;Bovinos_e_Comerc!$AC$4," -&gt; índice(s) fora da faixa média","")))))))</f>
        <v> -&gt; índice(s) fora da faixa média</v>
      </c>
      <c r="O259" s="298"/>
      <c r="P259" s="298"/>
      <c r="R259" s="7" t="str">
        <f t="shared" si="16"/>
        <v>20/21</v>
      </c>
      <c r="S259" s="2" t="str">
        <f t="shared" si="20"/>
        <v>2280</v>
      </c>
      <c r="T259" s="48">
        <v>7008</v>
      </c>
      <c r="U259" s="48"/>
      <c r="X259" s="21">
        <f>P257</f>
        <v>0</v>
      </c>
      <c r="Y259" s="50" t="s">
        <v>72</v>
      </c>
    </row>
    <row r="260" spans="1:25" ht="7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R260" s="7" t="str">
        <f t="shared" si="16"/>
        <v>20/21</v>
      </c>
      <c r="S260" s="2" t="str">
        <f t="shared" si="20"/>
        <v>2280</v>
      </c>
      <c r="T260" s="21" t="s">
        <v>73</v>
      </c>
      <c r="U260" s="21"/>
      <c r="W260" s="18"/>
      <c r="X260" s="21">
        <f>+M257</f>
        <v>5</v>
      </c>
      <c r="Y260" s="23" t="s">
        <v>74</v>
      </c>
    </row>
    <row r="261" spans="1:25" ht="7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R261" s="7" t="str">
        <f t="shared" si="16"/>
        <v>20/21</v>
      </c>
      <c r="S261" s="2" t="str">
        <f t="shared" si="20"/>
        <v>2280</v>
      </c>
      <c r="T261" s="21" t="s">
        <v>75</v>
      </c>
      <c r="U261" s="21">
        <f>+H251</f>
        <v>8240</v>
      </c>
      <c r="W261" s="18"/>
      <c r="X261" s="21"/>
      <c r="Y261" s="23" t="s">
        <v>76</v>
      </c>
    </row>
    <row r="262" spans="1:25" ht="16.5" customHeight="1">
      <c r="A262" s="20" t="s">
        <v>18</v>
      </c>
      <c r="B262" s="20" t="s">
        <v>110</v>
      </c>
      <c r="C262" s="20" t="s">
        <v>111</v>
      </c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R262" s="7" t="str">
        <f t="shared" si="16"/>
        <v>20/21</v>
      </c>
      <c r="S262" s="2" t="str">
        <f>+B262</f>
        <v>2380</v>
      </c>
      <c r="T262" s="21">
        <v>7014</v>
      </c>
      <c r="U262" s="21"/>
      <c r="V262" s="2">
        <f>J266</f>
        <v>27452.374</v>
      </c>
      <c r="Y262" s="23" t="s">
        <v>21</v>
      </c>
    </row>
    <row r="263" spans="1:25" ht="6" customHeight="1">
      <c r="A263" s="25"/>
      <c r="B263" s="26"/>
      <c r="C263" s="27"/>
      <c r="D263" s="27"/>
      <c r="E263" s="27"/>
      <c r="F263" s="27"/>
      <c r="G263" s="2"/>
      <c r="H263" s="2"/>
      <c r="I263" s="28"/>
      <c r="J263" s="2"/>
      <c r="K263" s="2"/>
      <c r="L263" s="29"/>
      <c r="M263" s="2"/>
      <c r="N263" s="2"/>
      <c r="O263" s="2"/>
      <c r="P263" s="2"/>
      <c r="R263" s="7" t="str">
        <f aca="true" t="shared" si="21" ref="R263:R306">+$S$5</f>
        <v>20/21</v>
      </c>
      <c r="S263" s="2" t="str">
        <f aca="true" t="shared" si="22" ref="S263:S276">+S262</f>
        <v>2380</v>
      </c>
      <c r="V263" s="13">
        <f>M266</f>
        <v>25657</v>
      </c>
      <c r="Y263" s="2" t="s">
        <v>22</v>
      </c>
    </row>
    <row r="264" spans="1:25" ht="11.25" customHeight="1">
      <c r="A264" s="34"/>
      <c r="B264" s="299" t="s">
        <v>26</v>
      </c>
      <c r="C264" s="307" t="s">
        <v>27</v>
      </c>
      <c r="D264" s="307"/>
      <c r="E264" s="307" t="s">
        <v>28</v>
      </c>
      <c r="F264" s="307"/>
      <c r="G264" s="34"/>
      <c r="H264" s="307" t="s">
        <v>29</v>
      </c>
      <c r="I264" s="2"/>
      <c r="J264" s="303" t="s">
        <v>30</v>
      </c>
      <c r="K264" s="308"/>
      <c r="L264" s="308"/>
      <c r="M264" s="303" t="s">
        <v>31</v>
      </c>
      <c r="N264" s="36"/>
      <c r="O264" s="2"/>
      <c r="P264" s="303" t="s">
        <v>32</v>
      </c>
      <c r="R264" s="7" t="str">
        <f t="shared" si="21"/>
        <v>20/21</v>
      </c>
      <c r="S264" s="2" t="str">
        <f t="shared" si="22"/>
        <v>2380</v>
      </c>
      <c r="T264" s="21" t="s">
        <v>33</v>
      </c>
      <c r="U264" s="21"/>
      <c r="V264" s="21">
        <f>+B266</f>
        <v>24149</v>
      </c>
      <c r="W264" s="37">
        <f>+H272</f>
        <v>243.92640894271074</v>
      </c>
      <c r="X264" s="21">
        <f>B272+C272</f>
        <v>2576.4</v>
      </c>
      <c r="Y264" s="23" t="s">
        <v>34</v>
      </c>
    </row>
    <row r="265" spans="1:25" ht="12" customHeight="1">
      <c r="A265" s="34"/>
      <c r="B265" s="299"/>
      <c r="C265" s="38" t="s">
        <v>36</v>
      </c>
      <c r="D265" s="38" t="s">
        <v>37</v>
      </c>
      <c r="E265" s="38" t="s">
        <v>36</v>
      </c>
      <c r="F265" s="38" t="s">
        <v>37</v>
      </c>
      <c r="G265" s="34"/>
      <c r="H265" s="307"/>
      <c r="I265" s="2"/>
      <c r="J265" s="303"/>
      <c r="K265" s="308"/>
      <c r="L265" s="308"/>
      <c r="M265" s="308"/>
      <c r="N265" s="36"/>
      <c r="O265" s="2"/>
      <c r="P265" s="303"/>
      <c r="R265" s="7" t="str">
        <f t="shared" si="21"/>
        <v>20/21</v>
      </c>
      <c r="S265" s="2" t="str">
        <f t="shared" si="22"/>
        <v>2380</v>
      </c>
      <c r="T265" s="21" t="s">
        <v>38</v>
      </c>
      <c r="U265" s="21"/>
      <c r="V265" s="39"/>
      <c r="W265" s="37">
        <f>H273</f>
        <v>222.3560326512356</v>
      </c>
      <c r="X265" s="21">
        <f>B273+C273</f>
        <v>1788.6</v>
      </c>
      <c r="Y265" s="23" t="s">
        <v>39</v>
      </c>
    </row>
    <row r="266" spans="1:25" ht="16.5" customHeight="1">
      <c r="A266" s="299" t="s">
        <v>40</v>
      </c>
      <c r="B266" s="304">
        <f>SUM(Reb__Est__por_faixa_etária!O22)</f>
        <v>24149</v>
      </c>
      <c r="C266" s="40">
        <f>'Leite_-_Produção'!Y25</f>
        <v>0.008116278106753904</v>
      </c>
      <c r="D266" s="40">
        <f>100%-(C266+E266+F266)</f>
        <v>0.6918837218932461</v>
      </c>
      <c r="E266" s="41">
        <v>0.11</v>
      </c>
      <c r="F266" s="41">
        <v>0.19</v>
      </c>
      <c r="G266" s="34" t="str">
        <f>IF(SUM(C267:F267)=0,"",IF(SUM(C266:F266)&lt;1,"&lt;100%",IF(SUM(C266:F266)&gt;1,"&gt;100%","OK")))</f>
        <v>OK</v>
      </c>
      <c r="H266" s="42">
        <f>Reb__Est__por_faixa_etária!B47</f>
        <v>8120</v>
      </c>
      <c r="I266" s="2"/>
      <c r="J266" s="43">
        <f>'Leite_-_Produção'!R25</f>
        <v>27452.374</v>
      </c>
      <c r="K266" s="44"/>
      <c r="L266" s="305"/>
      <c r="M266" s="45">
        <f>TRUNC(((C267+E267)*Bovinos_e_Comerc!$AD$8)+D267*Bovinos_e_Comerc!$AD$9,0)</f>
        <v>25657</v>
      </c>
      <c r="N266" s="46"/>
      <c r="O266" s="2"/>
      <c r="P266" s="47">
        <f>IF(OR(H266="",B266=""),"-",(D267+F267)/H266)</f>
        <v>2.6227352216748767</v>
      </c>
      <c r="R266" s="7" t="str">
        <f t="shared" si="21"/>
        <v>20/21</v>
      </c>
      <c r="S266" s="2" t="str">
        <f t="shared" si="22"/>
        <v>2380</v>
      </c>
      <c r="T266" s="48">
        <v>7590</v>
      </c>
      <c r="U266" s="48"/>
      <c r="V266" s="39"/>
      <c r="W266" s="49">
        <f>+G272</f>
        <v>0</v>
      </c>
      <c r="X266" s="21">
        <f>D272</f>
        <v>0</v>
      </c>
      <c r="Y266" s="50" t="s">
        <v>41</v>
      </c>
    </row>
    <row r="267" spans="1:25" ht="16.5" customHeight="1">
      <c r="A267" s="299"/>
      <c r="B267" s="304"/>
      <c r="C267" s="53">
        <f>+C266*B266</f>
        <v>196.00000000000003</v>
      </c>
      <c r="D267" s="53">
        <f>+D266*B266</f>
        <v>16708.3</v>
      </c>
      <c r="E267" s="53">
        <f>+E266*B266</f>
        <v>2656.39</v>
      </c>
      <c r="F267" s="53">
        <f>+F266*B266</f>
        <v>4588.31</v>
      </c>
      <c r="G267" s="34"/>
      <c r="H267" s="34"/>
      <c r="I267" s="2"/>
      <c r="J267" s="34"/>
      <c r="K267" s="34"/>
      <c r="L267" s="305"/>
      <c r="M267" s="34"/>
      <c r="N267" s="34"/>
      <c r="O267" s="34"/>
      <c r="P267" s="34"/>
      <c r="R267" s="7" t="str">
        <f t="shared" si="21"/>
        <v>20/21</v>
      </c>
      <c r="S267" s="2" t="str">
        <f t="shared" si="22"/>
        <v>2380</v>
      </c>
      <c r="T267" s="21" t="s">
        <v>42</v>
      </c>
      <c r="U267" s="21"/>
      <c r="V267" s="39"/>
      <c r="W267" s="39"/>
      <c r="X267" s="21">
        <f>K272</f>
        <v>1286.1599999999999</v>
      </c>
      <c r="Y267" s="23" t="s">
        <v>43</v>
      </c>
    </row>
    <row r="268" spans="1:25" ht="4.5" customHeight="1">
      <c r="A268" s="77"/>
      <c r="B268" s="78"/>
      <c r="C268" s="79"/>
      <c r="D268" s="79"/>
      <c r="E268" s="79"/>
      <c r="F268" s="79"/>
      <c r="G268" s="79"/>
      <c r="H268" s="34"/>
      <c r="I268" s="28"/>
      <c r="J268" s="34"/>
      <c r="K268" s="34"/>
      <c r="L268" s="80"/>
      <c r="M268" s="34"/>
      <c r="N268" s="34"/>
      <c r="O268" s="34"/>
      <c r="P268" s="34"/>
      <c r="R268" s="7" t="str">
        <f t="shared" si="21"/>
        <v>20/21</v>
      </c>
      <c r="S268" s="2" t="str">
        <f t="shared" si="22"/>
        <v>2380</v>
      </c>
      <c r="T268" s="21" t="s">
        <v>44</v>
      </c>
      <c r="U268" s="21"/>
      <c r="V268" s="39"/>
      <c r="W268" s="39"/>
      <c r="X268" s="21">
        <f>K273</f>
        <v>860.2</v>
      </c>
      <c r="Y268" s="23" t="s">
        <v>45</v>
      </c>
    </row>
    <row r="269" spans="1:25" ht="16.5" customHeight="1">
      <c r="A269" s="301" t="s">
        <v>46</v>
      </c>
      <c r="B269" s="306" t="s">
        <v>47</v>
      </c>
      <c r="C269" s="306"/>
      <c r="D269" s="306"/>
      <c r="E269" s="306" t="s">
        <v>48</v>
      </c>
      <c r="F269" s="306"/>
      <c r="G269" s="306"/>
      <c r="H269" s="307" t="s">
        <v>49</v>
      </c>
      <c r="I269" s="2"/>
      <c r="J269" s="301" t="s">
        <v>46</v>
      </c>
      <c r="K269" s="306" t="s">
        <v>50</v>
      </c>
      <c r="L269" s="306"/>
      <c r="M269" s="306"/>
      <c r="N269" s="299" t="s">
        <v>51</v>
      </c>
      <c r="O269" s="299"/>
      <c r="P269" s="299"/>
      <c r="R269" s="7" t="str">
        <f t="shared" si="21"/>
        <v>20/21</v>
      </c>
      <c r="S269" s="2" t="str">
        <f t="shared" si="22"/>
        <v>2380</v>
      </c>
      <c r="T269" s="21" t="s">
        <v>52</v>
      </c>
      <c r="U269" s="21"/>
      <c r="V269" s="39"/>
      <c r="W269" s="39"/>
      <c r="X269" s="21">
        <f>L272</f>
        <v>1259.7</v>
      </c>
      <c r="Y269" s="23" t="s">
        <v>53</v>
      </c>
    </row>
    <row r="270" spans="1:25" ht="16.5" customHeight="1">
      <c r="A270" s="301"/>
      <c r="B270" s="300" t="s">
        <v>54</v>
      </c>
      <c r="C270" s="300" t="s">
        <v>55</v>
      </c>
      <c r="D270" s="300" t="s">
        <v>56</v>
      </c>
      <c r="E270" s="300" t="s">
        <v>54</v>
      </c>
      <c r="F270" s="300" t="s">
        <v>55</v>
      </c>
      <c r="G270" s="300" t="s">
        <v>56</v>
      </c>
      <c r="H270" s="307"/>
      <c r="I270" s="2"/>
      <c r="J270" s="301"/>
      <c r="K270" s="302" t="s">
        <v>57</v>
      </c>
      <c r="L270" s="302" t="s">
        <v>58</v>
      </c>
      <c r="M270" s="302" t="s">
        <v>59</v>
      </c>
      <c r="N270" s="299"/>
      <c r="O270" s="299"/>
      <c r="P270" s="299"/>
      <c r="R270" s="7" t="str">
        <f t="shared" si="21"/>
        <v>20/21</v>
      </c>
      <c r="S270" s="2" t="str">
        <f t="shared" si="22"/>
        <v>2380</v>
      </c>
      <c r="T270" s="21" t="s">
        <v>60</v>
      </c>
      <c r="U270" s="21"/>
      <c r="X270" s="21">
        <f>+L273</f>
        <v>1921.5</v>
      </c>
      <c r="Y270" s="23" t="s">
        <v>61</v>
      </c>
    </row>
    <row r="271" spans="1:25" ht="18" customHeight="1">
      <c r="A271" s="301"/>
      <c r="B271" s="301"/>
      <c r="C271" s="301"/>
      <c r="D271" s="301"/>
      <c r="E271" s="301"/>
      <c r="F271" s="301"/>
      <c r="G271" s="301"/>
      <c r="H271" s="301"/>
      <c r="I271" s="2"/>
      <c r="J271" s="301"/>
      <c r="K271" s="301"/>
      <c r="L271" s="301"/>
      <c r="M271" s="301"/>
      <c r="N271" s="66" t="s">
        <v>62</v>
      </c>
      <c r="O271" s="66" t="s">
        <v>63</v>
      </c>
      <c r="P271" s="66" t="s">
        <v>64</v>
      </c>
      <c r="R271" s="7" t="str">
        <f t="shared" si="21"/>
        <v>20/21</v>
      </c>
      <c r="S271" s="2" t="str">
        <f t="shared" si="22"/>
        <v>2380</v>
      </c>
      <c r="T271" s="21" t="s">
        <v>65</v>
      </c>
      <c r="U271" s="21"/>
      <c r="X271" s="21">
        <f>+M273</f>
        <v>220.5</v>
      </c>
      <c r="Y271" s="23" t="s">
        <v>66</v>
      </c>
    </row>
    <row r="272" spans="1:25" ht="16.5" customHeight="1">
      <c r="A272" s="66" t="s">
        <v>67</v>
      </c>
      <c r="B272" s="68">
        <f>SUM('GTA_-_NR_FB (relatório para o D'!O243)</f>
        <v>1196</v>
      </c>
      <c r="C272" s="68">
        <f>SUM('GTA_-_NR_FB (relatório para o D'!P243)</f>
        <v>1380.4</v>
      </c>
      <c r="D272" s="68"/>
      <c r="E272" s="68">
        <v>260</v>
      </c>
      <c r="F272" s="68">
        <v>230</v>
      </c>
      <c r="G272" s="68"/>
      <c r="H272" s="69">
        <f>IF(B272="","",((E272*B272+F272*C272)/SUM(B272:C272)))</f>
        <v>243.92640894271074</v>
      </c>
      <c r="I272" s="2"/>
      <c r="J272" s="66" t="s">
        <v>67</v>
      </c>
      <c r="K272" s="68">
        <f>SUM('GTA_-_NR_FB (relatório para o D'!O250)</f>
        <v>1286.1599999999999</v>
      </c>
      <c r="L272" s="68">
        <f>SUM('GTA_-_NR_FB (relatório para o D'!P250)</f>
        <v>1259.7</v>
      </c>
      <c r="M272" s="68">
        <f>SUM('GTA_-_NR_FB (relatório para o D'!Q250)</f>
        <v>17</v>
      </c>
      <c r="N272" s="68"/>
      <c r="O272" s="68"/>
      <c r="P272" s="68"/>
      <c r="R272" s="7" t="str">
        <f t="shared" si="21"/>
        <v>20/21</v>
      </c>
      <c r="S272" s="2" t="str">
        <f t="shared" si="22"/>
        <v>2380</v>
      </c>
      <c r="T272" s="48">
        <v>7006</v>
      </c>
      <c r="U272" s="48"/>
      <c r="X272" s="21">
        <f>N272</f>
        <v>0</v>
      </c>
      <c r="Y272" s="50" t="s">
        <v>68</v>
      </c>
    </row>
    <row r="273" spans="1:25" ht="16.5" customHeight="1">
      <c r="A273" s="66" t="s">
        <v>69</v>
      </c>
      <c r="B273" s="68">
        <f>SUM('GTA_-_NR_FB (relatório para o D'!O244)</f>
        <v>1105</v>
      </c>
      <c r="C273" s="68">
        <f>SUM('GTA_-_NR_FB (relatório para o D'!P244)</f>
        <v>683.6</v>
      </c>
      <c r="D273" s="34"/>
      <c r="E273" s="68">
        <v>230</v>
      </c>
      <c r="F273" s="68">
        <v>210</v>
      </c>
      <c r="G273" s="71"/>
      <c r="H273" s="69">
        <f>IF(B273="","",((E273*B273+F273*C273)/SUM(B273:C273)))</f>
        <v>222.3560326512356</v>
      </c>
      <c r="I273" s="2"/>
      <c r="J273" s="66" t="s">
        <v>69</v>
      </c>
      <c r="K273" s="68">
        <f>SUM('GTA_-_NR_FB (relatório para o D'!O251)</f>
        <v>860.2</v>
      </c>
      <c r="L273" s="68">
        <f>SUM('GTA_-_NR_FB (relatório para o D'!P251)</f>
        <v>1921.5</v>
      </c>
      <c r="M273" s="72">
        <f>SUM('GTA_-_NR_FB (relatório para o D'!Q251)</f>
        <v>220.5</v>
      </c>
      <c r="N273" s="73"/>
      <c r="O273" s="73"/>
      <c r="P273" s="73"/>
      <c r="R273" s="7" t="str">
        <f t="shared" si="21"/>
        <v>20/21</v>
      </c>
      <c r="S273" s="2" t="str">
        <f t="shared" si="22"/>
        <v>2380</v>
      </c>
      <c r="T273" s="48">
        <v>7007</v>
      </c>
      <c r="U273" s="48"/>
      <c r="X273" s="21">
        <f>O272</f>
        <v>0</v>
      </c>
      <c r="Y273" s="50" t="s">
        <v>70</v>
      </c>
    </row>
    <row r="274" spans="1:25" ht="18" customHeight="1">
      <c r="A274" s="35" t="s">
        <v>71</v>
      </c>
      <c r="B274" s="74">
        <f>IF(B266="","",(B273+B272)/B266)</f>
        <v>0.09528344859000373</v>
      </c>
      <c r="C274" s="74">
        <f>IF(B266="","",(C273+C272)/B266)</f>
        <v>0.08546937761397988</v>
      </c>
      <c r="D274" s="74">
        <f>IF(B266="","",(D273+D272)/B266)</f>
        <v>0</v>
      </c>
      <c r="E274" s="297">
        <f>IF(B266="","",IF(B274+C274+D274&gt;Bovinos_e_Comerc!$AD$5," -&gt; índices (somados) acima da média",IF(B274+C274+D274&lt;Bovinos_e_Comerc!$AD$4," -&gt; índices (somados) abaixo da média","")))</f>
      </c>
      <c r="F274" s="297"/>
      <c r="G274" s="297"/>
      <c r="H274" s="297"/>
      <c r="I274" s="2"/>
      <c r="J274" s="35" t="s">
        <v>71</v>
      </c>
      <c r="K274" s="75">
        <f>IF(B266="","-",(K273+K272)/B266)</f>
        <v>0.08887987080210359</v>
      </c>
      <c r="L274" s="75">
        <f>IF(B266="","-",(L273+L272)/B266)</f>
        <v>0.1317321628224771</v>
      </c>
      <c r="M274" s="75">
        <f>IF(B266="","-",(M273+M272+O272+N272+P272)/B266)</f>
        <v>0.00983477576711251</v>
      </c>
      <c r="N274" s="298" t="str">
        <f>IF(AND(K274="-",L274="-",M274="-"),"",IF(K274&gt;Bovinos_e_Comerc!$AA$5," -&gt; índice(s) fora da faixa média",IF(K274&lt;Bovinos_e_Comerc!$AA$4," -&gt; índice(s) fora da faixa média",IF(L274&gt;Bovinos_e_Comerc!$AB$5," -&gt; índice(s) fora da faixa média",IF(L274&lt;Bovinos_e_Comerc!$AB$4," -&gt; índice(s) fora da faixa média",IF(M274&gt;Bovinos_e_Comerc!$AC$5," -&gt; índice(s) fora da faixa média",IF(M274&lt;Bovinos_e_Comerc!$AC$4," -&gt; índice(s) fora da faixa média","")))))))</f>
        <v> -&gt; índice(s) fora da faixa média</v>
      </c>
      <c r="O274" s="298"/>
      <c r="P274" s="298"/>
      <c r="R274" s="7" t="str">
        <f t="shared" si="21"/>
        <v>20/21</v>
      </c>
      <c r="S274" s="2" t="str">
        <f t="shared" si="22"/>
        <v>2380</v>
      </c>
      <c r="T274" s="48">
        <v>7008</v>
      </c>
      <c r="U274" s="48"/>
      <c r="X274" s="21">
        <f>P272</f>
        <v>0</v>
      </c>
      <c r="Y274" s="50" t="s">
        <v>72</v>
      </c>
    </row>
    <row r="275" spans="1:25" ht="7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R275" s="7" t="str">
        <f t="shared" si="21"/>
        <v>20/21</v>
      </c>
      <c r="S275" s="2" t="str">
        <f t="shared" si="22"/>
        <v>2380</v>
      </c>
      <c r="T275" s="21" t="s">
        <v>73</v>
      </c>
      <c r="U275" s="21"/>
      <c r="X275" s="21">
        <f>+M272</f>
        <v>17</v>
      </c>
      <c r="Y275" s="23" t="s">
        <v>74</v>
      </c>
    </row>
    <row r="276" spans="1:25" ht="7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R276" s="7" t="str">
        <f t="shared" si="21"/>
        <v>20/21</v>
      </c>
      <c r="S276" s="2" t="str">
        <f t="shared" si="22"/>
        <v>2380</v>
      </c>
      <c r="T276" s="21" t="s">
        <v>75</v>
      </c>
      <c r="U276" s="21">
        <f>+H266</f>
        <v>8120</v>
      </c>
      <c r="X276" s="21"/>
      <c r="Y276" s="23" t="s">
        <v>76</v>
      </c>
    </row>
    <row r="277" spans="1:25" ht="16.5" customHeight="1">
      <c r="A277" s="20" t="s">
        <v>18</v>
      </c>
      <c r="B277" s="20" t="s">
        <v>112</v>
      </c>
      <c r="C277" s="20" t="s">
        <v>113</v>
      </c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R277" s="7" t="str">
        <f t="shared" si="21"/>
        <v>20/21</v>
      </c>
      <c r="S277" s="2" t="str">
        <f>+B277</f>
        <v>2440</v>
      </c>
      <c r="T277" s="21">
        <v>7014</v>
      </c>
      <c r="U277" s="21"/>
      <c r="V277" s="2">
        <f>J281</f>
        <v>27018.521</v>
      </c>
      <c r="Y277" s="23" t="s">
        <v>21</v>
      </c>
    </row>
    <row r="278" spans="1:25" ht="6" customHeight="1">
      <c r="A278" s="25"/>
      <c r="B278" s="26"/>
      <c r="C278" s="27"/>
      <c r="D278" s="27"/>
      <c r="E278" s="27"/>
      <c r="F278" s="27"/>
      <c r="G278" s="2"/>
      <c r="H278" s="2"/>
      <c r="I278" s="28"/>
      <c r="J278" s="2"/>
      <c r="K278" s="2"/>
      <c r="L278" s="29"/>
      <c r="M278" s="2"/>
      <c r="N278" s="2"/>
      <c r="O278" s="2"/>
      <c r="P278" s="2"/>
      <c r="R278" s="7" t="str">
        <f t="shared" si="21"/>
        <v>20/21</v>
      </c>
      <c r="S278" s="2" t="str">
        <f aca="true" t="shared" si="23" ref="S278:S291">+S277</f>
        <v>2440</v>
      </c>
      <c r="V278" s="13">
        <f>M281</f>
        <v>14041</v>
      </c>
      <c r="Y278" s="2" t="s">
        <v>22</v>
      </c>
    </row>
    <row r="279" spans="1:25" ht="11.25" customHeight="1">
      <c r="A279" s="34"/>
      <c r="B279" s="299" t="s">
        <v>26</v>
      </c>
      <c r="C279" s="307" t="s">
        <v>27</v>
      </c>
      <c r="D279" s="307"/>
      <c r="E279" s="307" t="s">
        <v>28</v>
      </c>
      <c r="F279" s="307"/>
      <c r="G279" s="34"/>
      <c r="H279" s="307" t="s">
        <v>29</v>
      </c>
      <c r="I279" s="2"/>
      <c r="J279" s="303" t="s">
        <v>30</v>
      </c>
      <c r="K279" s="308"/>
      <c r="L279" s="308"/>
      <c r="M279" s="303" t="s">
        <v>31</v>
      </c>
      <c r="N279" s="36"/>
      <c r="O279" s="2"/>
      <c r="P279" s="303" t="s">
        <v>32</v>
      </c>
      <c r="R279" s="7" t="str">
        <f t="shared" si="21"/>
        <v>20/21</v>
      </c>
      <c r="S279" s="2" t="str">
        <f t="shared" si="23"/>
        <v>2440</v>
      </c>
      <c r="T279" s="21" t="s">
        <v>33</v>
      </c>
      <c r="U279" s="21"/>
      <c r="V279" s="21">
        <f>+B281</f>
        <v>19416</v>
      </c>
      <c r="W279" s="37">
        <f>+H287</f>
        <v>236.2560061502979</v>
      </c>
      <c r="X279" s="21">
        <f>B287+C287</f>
        <v>1040.6000000000001</v>
      </c>
      <c r="Y279" s="23" t="s">
        <v>34</v>
      </c>
    </row>
    <row r="280" spans="1:25" ht="12" customHeight="1">
      <c r="A280" s="34"/>
      <c r="B280" s="299"/>
      <c r="C280" s="38" t="s">
        <v>36</v>
      </c>
      <c r="D280" s="38" t="s">
        <v>37</v>
      </c>
      <c r="E280" s="38" t="s">
        <v>36</v>
      </c>
      <c r="F280" s="38" t="s">
        <v>37</v>
      </c>
      <c r="G280" s="34"/>
      <c r="H280" s="307"/>
      <c r="I280" s="2"/>
      <c r="J280" s="303"/>
      <c r="K280" s="308"/>
      <c r="L280" s="308"/>
      <c r="M280" s="308"/>
      <c r="N280" s="36"/>
      <c r="O280" s="2"/>
      <c r="P280" s="303"/>
      <c r="R280" s="7" t="str">
        <f t="shared" si="21"/>
        <v>20/21</v>
      </c>
      <c r="S280" s="2" t="str">
        <f t="shared" si="23"/>
        <v>2440</v>
      </c>
      <c r="T280" s="21" t="s">
        <v>38</v>
      </c>
      <c r="U280" s="21"/>
      <c r="V280" s="76"/>
      <c r="W280" s="37">
        <f>H288</f>
        <v>217.71793448084395</v>
      </c>
      <c r="X280" s="21">
        <f>B288+C288</f>
        <v>720.4000000000001</v>
      </c>
      <c r="Y280" s="23" t="s">
        <v>39</v>
      </c>
    </row>
    <row r="281" spans="1:25" ht="16.5" customHeight="1">
      <c r="A281" s="299" t="s">
        <v>40</v>
      </c>
      <c r="B281" s="304">
        <f>SUM(Reb__Est__por_faixa_etária!O23)</f>
        <v>19416</v>
      </c>
      <c r="C281" s="40">
        <f>'Leite_-_Produção'!Y26</f>
        <v>0.01751133086114545</v>
      </c>
      <c r="D281" s="40">
        <f>100%-(C281+E281+F281)</f>
        <v>0.7224886691388546</v>
      </c>
      <c r="E281" s="41"/>
      <c r="F281" s="41">
        <v>0.26</v>
      </c>
      <c r="G281" s="34" t="str">
        <f>IF(SUM(C282:F282)=0,"",IF(SUM(C281:F281)&lt;1,"&lt;100%",IF(SUM(C281:F281)&gt;1,"&gt;100%","OK")))</f>
        <v>OK</v>
      </c>
      <c r="H281" s="42">
        <f>Reb__Est__por_faixa_etária!B48</f>
        <v>7310</v>
      </c>
      <c r="I281" s="2"/>
      <c r="J281" s="43">
        <f>'Leite_-_Produção'!R26</f>
        <v>27018.521</v>
      </c>
      <c r="K281" s="44"/>
      <c r="L281" s="305"/>
      <c r="M281" s="45">
        <f>TRUNC(((C282+E282)*Bovinos_e_Comerc!$AD$8)+D282*Bovinos_e_Comerc!$AD$9,0)</f>
        <v>14041</v>
      </c>
      <c r="N281" s="46"/>
      <c r="O281" s="2"/>
      <c r="P281" s="47">
        <f>IF(OR(H281="",B281=""),"-",(D282+F282)/H281)</f>
        <v>2.609575923392613</v>
      </c>
      <c r="R281" s="7" t="str">
        <f t="shared" si="21"/>
        <v>20/21</v>
      </c>
      <c r="S281" s="2" t="str">
        <f t="shared" si="23"/>
        <v>2440</v>
      </c>
      <c r="T281" s="48">
        <v>7590</v>
      </c>
      <c r="U281" s="48"/>
      <c r="V281" s="76"/>
      <c r="W281" s="49">
        <f>+G287</f>
        <v>0</v>
      </c>
      <c r="X281" s="21">
        <f>D287</f>
        <v>0</v>
      </c>
      <c r="Y281" s="50" t="s">
        <v>41</v>
      </c>
    </row>
    <row r="282" spans="1:25" ht="16.5" customHeight="1">
      <c r="A282" s="299"/>
      <c r="B282" s="304"/>
      <c r="C282" s="53">
        <f>+C281*B281</f>
        <v>340.00000000000006</v>
      </c>
      <c r="D282" s="53">
        <f>+D281*B281</f>
        <v>14027.84</v>
      </c>
      <c r="E282" s="53">
        <f>+E281*B281</f>
        <v>0</v>
      </c>
      <c r="F282" s="53">
        <f>+F281*B281</f>
        <v>5048.16</v>
      </c>
      <c r="G282" s="34"/>
      <c r="H282" s="34"/>
      <c r="I282" s="2"/>
      <c r="J282" s="34"/>
      <c r="K282" s="34"/>
      <c r="L282" s="305"/>
      <c r="M282" s="34"/>
      <c r="N282" s="34"/>
      <c r="O282" s="34"/>
      <c r="P282" s="34"/>
      <c r="R282" s="7" t="str">
        <f t="shared" si="21"/>
        <v>20/21</v>
      </c>
      <c r="S282" s="2" t="str">
        <f t="shared" si="23"/>
        <v>2440</v>
      </c>
      <c r="T282" s="21" t="s">
        <v>42</v>
      </c>
      <c r="U282" s="21"/>
      <c r="V282" s="76"/>
      <c r="W282" s="76"/>
      <c r="X282" s="21">
        <f>K287</f>
        <v>1746.3500000000001</v>
      </c>
      <c r="Y282" s="23" t="s">
        <v>43</v>
      </c>
    </row>
    <row r="283" spans="1:25" ht="4.5" customHeight="1">
      <c r="A283" s="77"/>
      <c r="B283" s="78"/>
      <c r="C283" s="79"/>
      <c r="D283" s="79"/>
      <c r="E283" s="79"/>
      <c r="F283" s="79"/>
      <c r="G283" s="79"/>
      <c r="H283" s="34"/>
      <c r="I283" s="28"/>
      <c r="J283" s="34"/>
      <c r="K283" s="34"/>
      <c r="L283" s="80"/>
      <c r="M283" s="34"/>
      <c r="N283" s="34"/>
      <c r="O283" s="34"/>
      <c r="P283" s="34"/>
      <c r="R283" s="7" t="str">
        <f t="shared" si="21"/>
        <v>20/21</v>
      </c>
      <c r="S283" s="2" t="str">
        <f t="shared" si="23"/>
        <v>2440</v>
      </c>
      <c r="T283" s="21" t="s">
        <v>44</v>
      </c>
      <c r="U283" s="21"/>
      <c r="V283" s="76"/>
      <c r="W283" s="76"/>
      <c r="X283" s="21">
        <f>K288</f>
        <v>1152.67</v>
      </c>
      <c r="Y283" s="23" t="s">
        <v>45</v>
      </c>
    </row>
    <row r="284" spans="1:25" ht="16.5" customHeight="1">
      <c r="A284" s="301" t="s">
        <v>46</v>
      </c>
      <c r="B284" s="306" t="s">
        <v>47</v>
      </c>
      <c r="C284" s="306"/>
      <c r="D284" s="306"/>
      <c r="E284" s="306" t="s">
        <v>48</v>
      </c>
      <c r="F284" s="306"/>
      <c r="G284" s="306"/>
      <c r="H284" s="307" t="s">
        <v>49</v>
      </c>
      <c r="I284" s="2"/>
      <c r="J284" s="301" t="s">
        <v>46</v>
      </c>
      <c r="K284" s="306" t="s">
        <v>50</v>
      </c>
      <c r="L284" s="306"/>
      <c r="M284" s="306"/>
      <c r="N284" s="299" t="s">
        <v>51</v>
      </c>
      <c r="O284" s="299"/>
      <c r="P284" s="299"/>
      <c r="R284" s="7" t="str">
        <f t="shared" si="21"/>
        <v>20/21</v>
      </c>
      <c r="S284" s="2" t="str">
        <f t="shared" si="23"/>
        <v>2440</v>
      </c>
      <c r="T284" s="21" t="s">
        <v>52</v>
      </c>
      <c r="U284" s="21"/>
      <c r="V284" s="76"/>
      <c r="W284" s="76"/>
      <c r="X284" s="21">
        <f>L287</f>
        <v>1329</v>
      </c>
      <c r="Y284" s="23" t="s">
        <v>53</v>
      </c>
    </row>
    <row r="285" spans="1:25" ht="16.5" customHeight="1">
      <c r="A285" s="301"/>
      <c r="B285" s="300" t="s">
        <v>54</v>
      </c>
      <c r="C285" s="300" t="s">
        <v>55</v>
      </c>
      <c r="D285" s="300" t="s">
        <v>56</v>
      </c>
      <c r="E285" s="300" t="s">
        <v>54</v>
      </c>
      <c r="F285" s="300" t="s">
        <v>55</v>
      </c>
      <c r="G285" s="300" t="s">
        <v>56</v>
      </c>
      <c r="H285" s="307"/>
      <c r="I285" s="2"/>
      <c r="J285" s="301"/>
      <c r="K285" s="302" t="s">
        <v>57</v>
      </c>
      <c r="L285" s="302" t="s">
        <v>58</v>
      </c>
      <c r="M285" s="302" t="s">
        <v>59</v>
      </c>
      <c r="N285" s="299"/>
      <c r="O285" s="299"/>
      <c r="P285" s="299"/>
      <c r="R285" s="7" t="str">
        <f t="shared" si="21"/>
        <v>20/21</v>
      </c>
      <c r="S285" s="2" t="str">
        <f t="shared" si="23"/>
        <v>2440</v>
      </c>
      <c r="T285" s="21" t="s">
        <v>60</v>
      </c>
      <c r="U285" s="21"/>
      <c r="X285" s="21">
        <f>+L288</f>
        <v>2546</v>
      </c>
      <c r="Y285" s="23" t="s">
        <v>61</v>
      </c>
    </row>
    <row r="286" spans="1:25" ht="18" customHeight="1">
      <c r="A286" s="301"/>
      <c r="B286" s="301"/>
      <c r="C286" s="301"/>
      <c r="D286" s="301"/>
      <c r="E286" s="301"/>
      <c r="F286" s="301"/>
      <c r="G286" s="301"/>
      <c r="H286" s="301"/>
      <c r="I286" s="2"/>
      <c r="J286" s="301"/>
      <c r="K286" s="301"/>
      <c r="L286" s="301"/>
      <c r="M286" s="301"/>
      <c r="N286" s="66" t="s">
        <v>62</v>
      </c>
      <c r="O286" s="66" t="s">
        <v>63</v>
      </c>
      <c r="P286" s="66" t="s">
        <v>64</v>
      </c>
      <c r="R286" s="7" t="str">
        <f t="shared" si="21"/>
        <v>20/21</v>
      </c>
      <c r="S286" s="2" t="str">
        <f t="shared" si="23"/>
        <v>2440</v>
      </c>
      <c r="T286" s="21" t="s">
        <v>65</v>
      </c>
      <c r="U286" s="21"/>
      <c r="X286" s="21">
        <f>+M288</f>
        <v>341.59999999999997</v>
      </c>
      <c r="Y286" s="23" t="s">
        <v>66</v>
      </c>
    </row>
    <row r="287" spans="1:25" ht="16.5" customHeight="1">
      <c r="A287" s="66" t="s">
        <v>67</v>
      </c>
      <c r="B287" s="68">
        <f>SUM('GTA_-_NR_FB (relatório para o D'!O257)</f>
        <v>217</v>
      </c>
      <c r="C287" s="67">
        <f>SUM('GTA_-_NR_FB (relatório para o D'!P257)</f>
        <v>823.6000000000001</v>
      </c>
      <c r="D287" s="68"/>
      <c r="E287" s="68">
        <v>260</v>
      </c>
      <c r="F287" s="68">
        <v>230</v>
      </c>
      <c r="G287" s="68"/>
      <c r="H287" s="69">
        <f>IF(B287="","",((E287*B287+F287*C287)/SUM(B287:C287)))</f>
        <v>236.2560061502979</v>
      </c>
      <c r="I287" s="2"/>
      <c r="J287" s="66" t="s">
        <v>67</v>
      </c>
      <c r="K287" s="68">
        <f>SUM('GTA_-_NR_FB (relatório para o D'!O264)</f>
        <v>1746.3500000000001</v>
      </c>
      <c r="L287" s="68">
        <f>SUM('GTA_-_NR_FB (relatório para o D'!P264)</f>
        <v>1329</v>
      </c>
      <c r="M287" s="68">
        <f>SUM('GTA_-_NR_FB (relatório para o D'!Q264)</f>
        <v>9.600000000000001</v>
      </c>
      <c r="N287" s="68"/>
      <c r="O287" s="68"/>
      <c r="P287" s="68"/>
      <c r="R287" s="7" t="str">
        <f t="shared" si="21"/>
        <v>20/21</v>
      </c>
      <c r="S287" s="2" t="str">
        <f t="shared" si="23"/>
        <v>2440</v>
      </c>
      <c r="T287" s="48">
        <v>7006</v>
      </c>
      <c r="U287" s="48"/>
      <c r="X287" s="21">
        <f>N287</f>
        <v>0</v>
      </c>
      <c r="Y287" s="50" t="s">
        <v>68</v>
      </c>
    </row>
    <row r="288" spans="1:25" ht="16.5" customHeight="1">
      <c r="A288" s="66" t="s">
        <v>69</v>
      </c>
      <c r="B288" s="68">
        <f>SUM('GTA_-_NR_FB (relatório para o D'!O258)</f>
        <v>278</v>
      </c>
      <c r="C288" s="67">
        <f>SUM('GTA_-_NR_FB (relatório para o D'!P258)</f>
        <v>442.40000000000003</v>
      </c>
      <c r="D288" s="34"/>
      <c r="E288" s="68">
        <v>230</v>
      </c>
      <c r="F288" s="68">
        <v>210</v>
      </c>
      <c r="G288" s="71"/>
      <c r="H288" s="69">
        <f>IF(B288="","",((E288*B288+F288*C288)/SUM(B288:C288)))</f>
        <v>217.71793448084395</v>
      </c>
      <c r="I288" s="2"/>
      <c r="J288" s="66" t="s">
        <v>69</v>
      </c>
      <c r="K288" s="68">
        <f>SUM('GTA_-_NR_FB (relatório para o D'!O265)</f>
        <v>1152.67</v>
      </c>
      <c r="L288" s="68">
        <f>SUM('GTA_-_NR_FB (relatório para o D'!P265)</f>
        <v>2546</v>
      </c>
      <c r="M288" s="72">
        <f>SUM('GTA_-_NR_FB (relatório para o D'!Q265)</f>
        <v>341.59999999999997</v>
      </c>
      <c r="N288" s="73"/>
      <c r="O288" s="73"/>
      <c r="P288" s="73"/>
      <c r="R288" s="7" t="str">
        <f t="shared" si="21"/>
        <v>20/21</v>
      </c>
      <c r="S288" s="2" t="str">
        <f t="shared" si="23"/>
        <v>2440</v>
      </c>
      <c r="T288" s="48">
        <v>7007</v>
      </c>
      <c r="U288" s="48"/>
      <c r="X288" s="21">
        <f>O287</f>
        <v>0</v>
      </c>
      <c r="Y288" s="50" t="s">
        <v>70</v>
      </c>
    </row>
    <row r="289" spans="1:25" ht="18" customHeight="1">
      <c r="A289" s="35" t="s">
        <v>71</v>
      </c>
      <c r="B289" s="74">
        <f>IF(B281="","",(B288+B287)/B281)</f>
        <v>0.02549443757725587</v>
      </c>
      <c r="C289" s="74">
        <f>IF(B281="","",(C288+C287)/B281)</f>
        <v>0.06520395550061805</v>
      </c>
      <c r="D289" s="74">
        <f>IF(B281="","",(D288+D287)/B281)</f>
        <v>0</v>
      </c>
      <c r="E289" s="297" t="str">
        <f>IF(B281="","",IF(B289+C289+D289&gt;Bovinos_e_Comerc!$AD$5," -&gt; índices (somados) acima da média",IF(B289+C289+D289&lt;Bovinos_e_Comerc!$AD$4," -&gt; índices (somados) abaixo da média","")))</f>
        <v> -&gt; índices (somados) abaixo da média</v>
      </c>
      <c r="F289" s="297"/>
      <c r="G289" s="297"/>
      <c r="H289" s="297"/>
      <c r="I289" s="2"/>
      <c r="J289" s="35" t="s">
        <v>71</v>
      </c>
      <c r="K289" s="75">
        <f>IF(B281="","-",(K288+K287)/B281)</f>
        <v>0.14931087762669965</v>
      </c>
      <c r="L289" s="75">
        <f>IF(B281="","-",(L288+L287)/B281)</f>
        <v>0.1995776679027606</v>
      </c>
      <c r="M289" s="75">
        <f>IF(B281="","-",(M288+M287+O287+N287+P287)/B281)</f>
        <v>0.018088174701277295</v>
      </c>
      <c r="N289" s="298">
        <f>IF(AND(K289="-",L289="-",M289="-"),"",IF(K289&gt;Bovinos_e_Comerc!$AA$5," -&gt; índice(s) fora da faixa média",IF(K289&lt;Bovinos_e_Comerc!$AA$4," -&gt; índice(s) fora da faixa média",IF(L289&gt;Bovinos_e_Comerc!$AB$5," -&gt; índice(s) fora da faixa média",IF(L289&lt;Bovinos_e_Comerc!$AB$4," -&gt; índice(s) fora da faixa média",IF(M289&gt;Bovinos_e_Comerc!$AC$5," -&gt; índice(s) fora da faixa média",IF(M289&lt;Bovinos_e_Comerc!$AC$4," -&gt; índice(s) fora da faixa média","")))))))</f>
      </c>
      <c r="O289" s="298"/>
      <c r="P289" s="298"/>
      <c r="R289" s="7" t="str">
        <f t="shared" si="21"/>
        <v>20/21</v>
      </c>
      <c r="S289" s="2" t="str">
        <f t="shared" si="23"/>
        <v>2440</v>
      </c>
      <c r="T289" s="48">
        <v>7008</v>
      </c>
      <c r="U289" s="48"/>
      <c r="X289" s="21">
        <f>P287</f>
        <v>0</v>
      </c>
      <c r="Y289" s="50" t="s">
        <v>72</v>
      </c>
    </row>
    <row r="290" spans="1:25" ht="7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R290" s="7" t="str">
        <f t="shared" si="21"/>
        <v>20/21</v>
      </c>
      <c r="S290" s="2" t="str">
        <f t="shared" si="23"/>
        <v>2440</v>
      </c>
      <c r="T290" s="21" t="s">
        <v>73</v>
      </c>
      <c r="U290" s="21"/>
      <c r="W290" s="18"/>
      <c r="X290" s="21">
        <f>+M287</f>
        <v>9.600000000000001</v>
      </c>
      <c r="Y290" s="23" t="s">
        <v>74</v>
      </c>
    </row>
    <row r="291" spans="1:25" ht="7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R291" s="7" t="str">
        <f t="shared" si="21"/>
        <v>20/21</v>
      </c>
      <c r="S291" s="2" t="str">
        <f t="shared" si="23"/>
        <v>2440</v>
      </c>
      <c r="T291" s="21" t="s">
        <v>75</v>
      </c>
      <c r="U291" s="21">
        <f>+H281</f>
        <v>7310</v>
      </c>
      <c r="W291" s="18"/>
      <c r="X291" s="21"/>
      <c r="Y291" s="23" t="s">
        <v>76</v>
      </c>
    </row>
    <row r="292" spans="1:25" ht="16.5" customHeight="1">
      <c r="A292" s="20" t="s">
        <v>18</v>
      </c>
      <c r="B292" s="20" t="s">
        <v>114</v>
      </c>
      <c r="C292" s="20" t="s">
        <v>115</v>
      </c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R292" s="7" t="str">
        <f t="shared" si="21"/>
        <v>20/21</v>
      </c>
      <c r="S292" s="2" t="str">
        <f>+B292</f>
        <v>2860</v>
      </c>
      <c r="T292" s="21">
        <v>7014</v>
      </c>
      <c r="U292" s="21"/>
      <c r="V292" s="2">
        <f>J296</f>
        <v>32299.147</v>
      </c>
      <c r="Y292" s="23" t="s">
        <v>21</v>
      </c>
    </row>
    <row r="293" spans="1:25" ht="6" customHeight="1">
      <c r="A293" s="25"/>
      <c r="B293" s="26"/>
      <c r="C293" s="27"/>
      <c r="D293" s="27"/>
      <c r="E293" s="27"/>
      <c r="F293" s="27"/>
      <c r="G293" s="2"/>
      <c r="H293" s="2"/>
      <c r="I293" s="28"/>
      <c r="J293" s="2"/>
      <c r="K293" s="2"/>
      <c r="L293" s="29"/>
      <c r="M293" s="2"/>
      <c r="N293" s="2"/>
      <c r="O293" s="2"/>
      <c r="P293" s="2"/>
      <c r="R293" s="7" t="str">
        <f t="shared" si="21"/>
        <v>20/21</v>
      </c>
      <c r="S293" s="2" t="str">
        <f aca="true" t="shared" si="24" ref="S293:S306">+S292</f>
        <v>2860</v>
      </c>
      <c r="V293" s="13">
        <f>M296</f>
        <v>17365</v>
      </c>
      <c r="Y293" s="2" t="s">
        <v>22</v>
      </c>
    </row>
    <row r="294" spans="1:25" ht="11.25" customHeight="1">
      <c r="A294" s="34"/>
      <c r="B294" s="299" t="s">
        <v>26</v>
      </c>
      <c r="C294" s="307" t="s">
        <v>27</v>
      </c>
      <c r="D294" s="307"/>
      <c r="E294" s="307" t="s">
        <v>28</v>
      </c>
      <c r="F294" s="307"/>
      <c r="G294" s="34"/>
      <c r="H294" s="307" t="s">
        <v>29</v>
      </c>
      <c r="I294" s="2"/>
      <c r="J294" s="303" t="s">
        <v>30</v>
      </c>
      <c r="K294" s="308"/>
      <c r="L294" s="308"/>
      <c r="M294" s="303" t="s">
        <v>31</v>
      </c>
      <c r="N294" s="36"/>
      <c r="O294" s="2"/>
      <c r="P294" s="303" t="s">
        <v>32</v>
      </c>
      <c r="R294" s="7" t="str">
        <f t="shared" si="21"/>
        <v>20/21</v>
      </c>
      <c r="S294" s="2" t="str">
        <f t="shared" si="24"/>
        <v>2860</v>
      </c>
      <c r="T294" s="21" t="s">
        <v>33</v>
      </c>
      <c r="U294" s="21"/>
      <c r="V294" s="21">
        <f>+B296</f>
        <v>17275</v>
      </c>
      <c r="W294" s="37">
        <f>+H302</f>
        <v>234.18206247900568</v>
      </c>
      <c r="X294" s="21">
        <f>B302+C302</f>
        <v>595.4000000000001</v>
      </c>
      <c r="Y294" s="23" t="s">
        <v>34</v>
      </c>
    </row>
    <row r="295" spans="1:25" ht="12" customHeight="1">
      <c r="A295" s="34"/>
      <c r="B295" s="299"/>
      <c r="C295" s="38" t="s">
        <v>36</v>
      </c>
      <c r="D295" s="38" t="s">
        <v>37</v>
      </c>
      <c r="E295" s="38" t="s">
        <v>36</v>
      </c>
      <c r="F295" s="38" t="s">
        <v>37</v>
      </c>
      <c r="G295" s="34"/>
      <c r="H295" s="307"/>
      <c r="I295" s="2"/>
      <c r="J295" s="303"/>
      <c r="K295" s="308"/>
      <c r="L295" s="308"/>
      <c r="M295" s="308"/>
      <c r="N295" s="36"/>
      <c r="O295" s="2"/>
      <c r="P295" s="303"/>
      <c r="R295" s="7" t="str">
        <f t="shared" si="21"/>
        <v>20/21</v>
      </c>
      <c r="S295" s="2" t="str">
        <f t="shared" si="24"/>
        <v>2860</v>
      </c>
      <c r="T295" s="21" t="s">
        <v>38</v>
      </c>
      <c r="U295" s="21"/>
      <c r="V295" s="39"/>
      <c r="W295" s="37">
        <f>H303</f>
        <v>223.10669670284662</v>
      </c>
      <c r="X295" s="21">
        <f>B303+C303</f>
        <v>976.6</v>
      </c>
      <c r="Y295" s="23" t="s">
        <v>39</v>
      </c>
    </row>
    <row r="296" spans="1:25" ht="16.5" customHeight="1">
      <c r="A296" s="299" t="s">
        <v>40</v>
      </c>
      <c r="B296" s="304">
        <f>SUM(Reb__Est__por_faixa_etária!O24)</f>
        <v>17275</v>
      </c>
      <c r="C296" s="40">
        <f>'Leite_-_Produção'!Y27</f>
        <v>0.0672069464544139</v>
      </c>
      <c r="D296" s="40">
        <f>100%-(C296+E296+F296)</f>
        <v>0.7527930535455861</v>
      </c>
      <c r="E296" s="41">
        <v>0.02</v>
      </c>
      <c r="F296" s="41">
        <v>0.16</v>
      </c>
      <c r="G296" s="34" t="str">
        <f>IF(SUM(C297:F297)=0,"",IF(SUM(C296:F296)&lt;1,"&lt;100%",IF(SUM(C296:F296)&gt;1,"&gt;100%","OK")))</f>
        <v>OK</v>
      </c>
      <c r="H296" s="42">
        <f>Reb__Est__por_faixa_etária!B49</f>
        <v>5590</v>
      </c>
      <c r="I296" s="2"/>
      <c r="J296" s="43">
        <f>'Leite_-_Produção'!R27</f>
        <v>32299.147</v>
      </c>
      <c r="K296" s="44"/>
      <c r="L296" s="305"/>
      <c r="M296" s="45">
        <f>TRUNC(((C297+E297)*Bovinos_e_Comerc!$AD$8)+D297*Bovinos_e_Comerc!$AD$9,0)</f>
        <v>17365</v>
      </c>
      <c r="N296" s="46"/>
      <c r="O296" s="2"/>
      <c r="P296" s="47">
        <f>IF(OR(H296="",B296=""),"-",(D297+F297)/H296)</f>
        <v>2.820840787119857</v>
      </c>
      <c r="R296" s="7" t="str">
        <f t="shared" si="21"/>
        <v>20/21</v>
      </c>
      <c r="S296" s="2" t="str">
        <f t="shared" si="24"/>
        <v>2860</v>
      </c>
      <c r="T296" s="48">
        <v>7590</v>
      </c>
      <c r="U296" s="48"/>
      <c r="V296" s="39"/>
      <c r="W296" s="49">
        <f>+G302</f>
        <v>0</v>
      </c>
      <c r="X296" s="21">
        <f>D302</f>
        <v>0</v>
      </c>
      <c r="Y296" s="50" t="s">
        <v>41</v>
      </c>
    </row>
    <row r="297" spans="1:25" ht="16.5" customHeight="1">
      <c r="A297" s="299"/>
      <c r="B297" s="304"/>
      <c r="C297" s="53">
        <f>+C296*B296</f>
        <v>1161</v>
      </c>
      <c r="D297" s="53">
        <f>+D296*B296</f>
        <v>13004.5</v>
      </c>
      <c r="E297" s="53">
        <f>+E296*B296</f>
        <v>345.5</v>
      </c>
      <c r="F297" s="53">
        <f>+F296*B296</f>
        <v>2764</v>
      </c>
      <c r="G297" s="34"/>
      <c r="H297" s="34"/>
      <c r="I297" s="2"/>
      <c r="J297" s="34"/>
      <c r="K297" s="34"/>
      <c r="L297" s="305"/>
      <c r="M297" s="34"/>
      <c r="N297" s="34"/>
      <c r="O297" s="34"/>
      <c r="P297" s="34"/>
      <c r="R297" s="7" t="str">
        <f t="shared" si="21"/>
        <v>20/21</v>
      </c>
      <c r="S297" s="2" t="str">
        <f t="shared" si="24"/>
        <v>2860</v>
      </c>
      <c r="T297" s="21" t="s">
        <v>42</v>
      </c>
      <c r="U297" s="21"/>
      <c r="V297" s="39"/>
      <c r="W297" s="39"/>
      <c r="X297" s="21">
        <f>K302</f>
        <v>1150</v>
      </c>
      <c r="Y297" s="23" t="s">
        <v>43</v>
      </c>
    </row>
    <row r="298" spans="1:25" ht="4.5" customHeight="1">
      <c r="A298" s="77"/>
      <c r="B298" s="78"/>
      <c r="C298" s="79"/>
      <c r="D298" s="79"/>
      <c r="E298" s="79"/>
      <c r="F298" s="79"/>
      <c r="G298" s="79"/>
      <c r="H298" s="34"/>
      <c r="I298" s="28"/>
      <c r="J298" s="34"/>
      <c r="K298" s="34"/>
      <c r="L298" s="80"/>
      <c r="M298" s="34"/>
      <c r="N298" s="34"/>
      <c r="O298" s="34"/>
      <c r="P298" s="34"/>
      <c r="R298" s="7" t="str">
        <f t="shared" si="21"/>
        <v>20/21</v>
      </c>
      <c r="S298" s="2" t="str">
        <f t="shared" si="24"/>
        <v>2860</v>
      </c>
      <c r="T298" s="21" t="s">
        <v>44</v>
      </c>
      <c r="U298" s="21"/>
      <c r="V298" s="39"/>
      <c r="W298" s="39"/>
      <c r="X298" s="21">
        <f>K303</f>
        <v>827.2</v>
      </c>
      <c r="Y298" s="23" t="s">
        <v>45</v>
      </c>
    </row>
    <row r="299" spans="1:25" ht="16.5" customHeight="1">
      <c r="A299" s="301" t="s">
        <v>46</v>
      </c>
      <c r="B299" s="306" t="s">
        <v>47</v>
      </c>
      <c r="C299" s="306"/>
      <c r="D299" s="306"/>
      <c r="E299" s="306" t="s">
        <v>48</v>
      </c>
      <c r="F299" s="306"/>
      <c r="G299" s="306"/>
      <c r="H299" s="307" t="s">
        <v>49</v>
      </c>
      <c r="I299" s="2"/>
      <c r="J299" s="301" t="s">
        <v>46</v>
      </c>
      <c r="K299" s="306" t="s">
        <v>50</v>
      </c>
      <c r="L299" s="306"/>
      <c r="M299" s="306"/>
      <c r="N299" s="299" t="s">
        <v>51</v>
      </c>
      <c r="O299" s="299"/>
      <c r="P299" s="299"/>
      <c r="R299" s="7" t="str">
        <f t="shared" si="21"/>
        <v>20/21</v>
      </c>
      <c r="S299" s="2" t="str">
        <f t="shared" si="24"/>
        <v>2860</v>
      </c>
      <c r="T299" s="21" t="s">
        <v>52</v>
      </c>
      <c r="U299" s="21"/>
      <c r="V299" s="39"/>
      <c r="W299" s="39"/>
      <c r="X299" s="21">
        <f>L302</f>
        <v>1424.6</v>
      </c>
      <c r="Y299" s="23" t="s">
        <v>53</v>
      </c>
    </row>
    <row r="300" spans="1:25" ht="16.5" customHeight="1">
      <c r="A300" s="301"/>
      <c r="B300" s="300" t="s">
        <v>54</v>
      </c>
      <c r="C300" s="300" t="s">
        <v>55</v>
      </c>
      <c r="D300" s="300" t="s">
        <v>56</v>
      </c>
      <c r="E300" s="300" t="s">
        <v>54</v>
      </c>
      <c r="F300" s="300" t="s">
        <v>55</v>
      </c>
      <c r="G300" s="300" t="s">
        <v>56</v>
      </c>
      <c r="H300" s="307"/>
      <c r="I300" s="2"/>
      <c r="J300" s="301"/>
      <c r="K300" s="302" t="s">
        <v>57</v>
      </c>
      <c r="L300" s="302" t="s">
        <v>58</v>
      </c>
      <c r="M300" s="302" t="s">
        <v>59</v>
      </c>
      <c r="N300" s="299"/>
      <c r="O300" s="299"/>
      <c r="P300" s="299"/>
      <c r="R300" s="7" t="str">
        <f t="shared" si="21"/>
        <v>20/21</v>
      </c>
      <c r="S300" s="2" t="str">
        <f t="shared" si="24"/>
        <v>2860</v>
      </c>
      <c r="T300" s="21" t="s">
        <v>60</v>
      </c>
      <c r="U300" s="21"/>
      <c r="X300" s="21">
        <f>+L303</f>
        <v>2800</v>
      </c>
      <c r="Y300" s="23" t="s">
        <v>61</v>
      </c>
    </row>
    <row r="301" spans="1:25" ht="18" customHeight="1">
      <c r="A301" s="301"/>
      <c r="B301" s="301"/>
      <c r="C301" s="301"/>
      <c r="D301" s="301"/>
      <c r="E301" s="301"/>
      <c r="F301" s="301"/>
      <c r="G301" s="301"/>
      <c r="H301" s="301"/>
      <c r="I301" s="2"/>
      <c r="J301" s="301"/>
      <c r="K301" s="301"/>
      <c r="L301" s="301"/>
      <c r="M301" s="301"/>
      <c r="N301" s="66" t="s">
        <v>62</v>
      </c>
      <c r="O301" s="66" t="s">
        <v>63</v>
      </c>
      <c r="P301" s="66" t="s">
        <v>64</v>
      </c>
      <c r="R301" s="7" t="str">
        <f t="shared" si="21"/>
        <v>20/21</v>
      </c>
      <c r="S301" s="2" t="str">
        <f t="shared" si="24"/>
        <v>2860</v>
      </c>
      <c r="T301" s="21" t="s">
        <v>65</v>
      </c>
      <c r="U301" s="21"/>
      <c r="X301" s="21">
        <f>+M303</f>
        <v>454.29999999999995</v>
      </c>
      <c r="Y301" s="23" t="s">
        <v>66</v>
      </c>
    </row>
    <row r="302" spans="1:25" ht="16.5" customHeight="1">
      <c r="A302" s="66" t="s">
        <v>67</v>
      </c>
      <c r="B302" s="68">
        <f>SUM('GTA_-_NR_FB (relatório para o D'!O271)</f>
        <v>83</v>
      </c>
      <c r="C302" s="67">
        <f>SUM('GTA_-_NR_FB (relatório para o D'!P271)</f>
        <v>512.4000000000001</v>
      </c>
      <c r="D302" s="68"/>
      <c r="E302" s="68">
        <v>260</v>
      </c>
      <c r="F302" s="68">
        <v>230</v>
      </c>
      <c r="G302" s="68"/>
      <c r="H302" s="69">
        <f>IF(B302="","",((E302*B302+F302*C302)/SUM(B302:C302)))</f>
        <v>234.18206247900568</v>
      </c>
      <c r="I302" s="2"/>
      <c r="J302" s="66" t="s">
        <v>67</v>
      </c>
      <c r="K302" s="68">
        <f>SUM('GTA_-_NR_FB (relatório para o D'!O278)</f>
        <v>1150</v>
      </c>
      <c r="L302" s="68">
        <f>SUM('GTA_-_NR_FB (relatório para o D'!P278)</f>
        <v>1424.6</v>
      </c>
      <c r="M302" s="68">
        <f>SUM('GTA_-_NR_FB (relatório para o D'!Q278)</f>
        <v>19.200000000000003</v>
      </c>
      <c r="N302" s="68"/>
      <c r="O302" s="68"/>
      <c r="P302" s="68"/>
      <c r="R302" s="7" t="str">
        <f t="shared" si="21"/>
        <v>20/21</v>
      </c>
      <c r="S302" s="2" t="str">
        <f t="shared" si="24"/>
        <v>2860</v>
      </c>
      <c r="T302" s="48">
        <v>7006</v>
      </c>
      <c r="U302" s="48"/>
      <c r="X302" s="21">
        <f>N302</f>
        <v>0</v>
      </c>
      <c r="Y302" s="50" t="s">
        <v>68</v>
      </c>
    </row>
    <row r="303" spans="1:25" ht="16.5" customHeight="1">
      <c r="A303" s="66" t="s">
        <v>69</v>
      </c>
      <c r="B303" s="68">
        <f>SUM('GTA_-_NR_FB (relatório para o D'!O272)</f>
        <v>640</v>
      </c>
      <c r="C303" s="67">
        <f>SUM('GTA_-_NR_FB (relatório para o D'!P272)</f>
        <v>336.6</v>
      </c>
      <c r="D303" s="34"/>
      <c r="E303" s="68">
        <v>230</v>
      </c>
      <c r="F303" s="68">
        <v>210</v>
      </c>
      <c r="G303" s="71"/>
      <c r="H303" s="69">
        <f>IF(B303="","",((E303*B303+F303*C303)/SUM(B303:C303)))</f>
        <v>223.10669670284662</v>
      </c>
      <c r="I303" s="2"/>
      <c r="J303" s="66" t="s">
        <v>69</v>
      </c>
      <c r="K303" s="68">
        <f>SUM('GTA_-_NR_FB (relatório para o D'!O279)</f>
        <v>827.2</v>
      </c>
      <c r="L303" s="68">
        <v>2800</v>
      </c>
      <c r="M303" s="72">
        <f>SUM('GTA_-_NR_FB (relatório para o D'!Q279)</f>
        <v>454.29999999999995</v>
      </c>
      <c r="N303" s="73"/>
      <c r="O303" s="73"/>
      <c r="P303" s="73"/>
      <c r="R303" s="7" t="str">
        <f t="shared" si="21"/>
        <v>20/21</v>
      </c>
      <c r="S303" s="2" t="str">
        <f t="shared" si="24"/>
        <v>2860</v>
      </c>
      <c r="T303" s="48">
        <v>7007</v>
      </c>
      <c r="U303" s="48"/>
      <c r="X303" s="21">
        <f>O302</f>
        <v>0</v>
      </c>
      <c r="Y303" s="50" t="s">
        <v>70</v>
      </c>
    </row>
    <row r="304" spans="1:25" ht="18" customHeight="1">
      <c r="A304" s="35" t="s">
        <v>71</v>
      </c>
      <c r="B304" s="74">
        <f>IF(B296="","",(B303+B302)/B296)</f>
        <v>0.04185238784370478</v>
      </c>
      <c r="C304" s="74">
        <f>IF(B296="","",(C303+C302)/B296)</f>
        <v>0.049146164978292335</v>
      </c>
      <c r="D304" s="74">
        <f>IF(B296="","",(D303+D302)/B296)</f>
        <v>0</v>
      </c>
      <c r="E304" s="297" t="str">
        <f>IF(B296="","",IF(B304+C304+D304&gt;Bovinos_e_Comerc!$AD$5," -&gt; índices (somados) acima da média",IF(B304+C304+D304&lt;Bovinos_e_Comerc!$AD$4," -&gt; índices (somados) abaixo da média","")))</f>
        <v> -&gt; índices (somados) abaixo da média</v>
      </c>
      <c r="F304" s="297"/>
      <c r="G304" s="297"/>
      <c r="H304" s="297"/>
      <c r="I304" s="2"/>
      <c r="J304" s="35" t="s">
        <v>71</v>
      </c>
      <c r="K304" s="75">
        <f>IF(B296="","-",(K303+K302)/B296)</f>
        <v>0.11445441389290884</v>
      </c>
      <c r="L304" s="75">
        <f>IF(B296="","-",(L303+L302)/B296)</f>
        <v>0.24454992764109987</v>
      </c>
      <c r="M304" s="75">
        <f>IF(B296="","-",(M303+M302+O302+N302+P302)/B296)</f>
        <v>0.0274095513748191</v>
      </c>
      <c r="N304" s="298">
        <f>IF(AND(K304="-",L304="-",M304="-"),"",IF(K304&gt;Bovinos_e_Comerc!$AA$5," -&gt; índice(s) fora da faixa média",IF(K304&lt;Bovinos_e_Comerc!$AA$4," -&gt; índice(s) fora da faixa média",IF(L304&gt;Bovinos_e_Comerc!$AB$5," -&gt; índice(s) fora da faixa média",IF(L304&lt;Bovinos_e_Comerc!$AB$4," -&gt; índice(s) fora da faixa média",IF(M304&gt;Bovinos_e_Comerc!$AC$5," -&gt; índice(s) fora da faixa média",IF(M304&lt;Bovinos_e_Comerc!$AC$4," -&gt; índice(s) fora da faixa média","")))))))</f>
      </c>
      <c r="O304" s="298"/>
      <c r="P304" s="298"/>
      <c r="R304" s="7" t="str">
        <f t="shared" si="21"/>
        <v>20/21</v>
      </c>
      <c r="S304" s="2" t="str">
        <f t="shared" si="24"/>
        <v>2860</v>
      </c>
      <c r="T304" s="48">
        <v>7008</v>
      </c>
      <c r="U304" s="48"/>
      <c r="X304" s="21">
        <f>P302</f>
        <v>0</v>
      </c>
      <c r="Y304" s="50" t="s">
        <v>72</v>
      </c>
    </row>
    <row r="305" spans="1:25" ht="22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R305" s="7" t="str">
        <f t="shared" si="21"/>
        <v>20/21</v>
      </c>
      <c r="S305" s="2" t="str">
        <f t="shared" si="24"/>
        <v>2860</v>
      </c>
      <c r="T305" s="21" t="s">
        <v>73</v>
      </c>
      <c r="U305" s="21"/>
      <c r="W305" s="18"/>
      <c r="X305" s="21">
        <f>+M302</f>
        <v>19.200000000000003</v>
      </c>
      <c r="Y305" s="23" t="s">
        <v>74</v>
      </c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R306" s="7" t="str">
        <f t="shared" si="21"/>
        <v>20/21</v>
      </c>
      <c r="S306" s="2" t="str">
        <f t="shared" si="24"/>
        <v>2860</v>
      </c>
      <c r="T306" s="21" t="s">
        <v>75</v>
      </c>
      <c r="U306" s="21">
        <f>+H296</f>
        <v>5590</v>
      </c>
      <c r="W306" s="18"/>
      <c r="X306" s="21"/>
      <c r="Y306" s="23" t="s">
        <v>76</v>
      </c>
    </row>
    <row r="307" spans="1:34" s="88" customFormat="1" ht="23.25" customHeight="1">
      <c r="A307" s="81"/>
      <c r="B307" s="82" t="s">
        <v>116</v>
      </c>
      <c r="C307" s="82" t="s">
        <v>117</v>
      </c>
      <c r="D307" s="81"/>
      <c r="E307" s="81"/>
      <c r="F307" s="81"/>
      <c r="G307" s="81"/>
      <c r="H307" s="83" t="s">
        <v>118</v>
      </c>
      <c r="I307" s="81"/>
      <c r="J307" s="84" t="s">
        <v>119</v>
      </c>
      <c r="K307" s="81"/>
      <c r="L307" s="81"/>
      <c r="M307" s="81"/>
      <c r="N307" s="81"/>
      <c r="O307" s="81"/>
      <c r="P307" s="81"/>
      <c r="Q307" s="81"/>
      <c r="R307" s="85"/>
      <c r="S307" s="81"/>
      <c r="T307" s="86"/>
      <c r="U307" s="86"/>
      <c r="V307" s="81"/>
      <c r="W307" s="81"/>
      <c r="X307" s="86"/>
      <c r="Y307" s="87"/>
      <c r="Z307" s="81"/>
      <c r="AA307" s="81"/>
      <c r="AB307" s="81"/>
      <c r="AC307" s="81"/>
      <c r="AD307" s="81"/>
      <c r="AE307" s="81"/>
      <c r="AF307" s="81"/>
      <c r="AG307" s="81"/>
      <c r="AH307" s="81"/>
    </row>
    <row r="308" spans="2:10" ht="16.5" customHeight="1">
      <c r="B308" s="89">
        <f>SUM(B11,B26,B41,B56,B71,B86,B101,B116,B131,B146,B161,B176,B191,B206,B221,B236,B251,B266,B281,B296,)</f>
        <v>386941</v>
      </c>
      <c r="C308" s="89">
        <f>SUM(C12,C27,C42,C57,C72,C87,C102,C117,C132,C147,C162,C177,C192,C207,C222,C237,C252,C267,C282,C297)</f>
        <v>14046</v>
      </c>
      <c r="H308" s="90">
        <f>SUM(H11,H26,H41,H56,H71,H86,H101,H116,H131,H146,H161,H176,H191,H206,H221,H236,H251,H266,H281,H296,)</f>
        <v>145725</v>
      </c>
      <c r="I308" s="91"/>
      <c r="J308" s="92">
        <f>SUM(J11,J26,J41,J56,J71,J86,J101,J116,J131,J146,J161,J176,J191,J206,J221,J236,J251,J266,J281,J296,)</f>
        <v>559604.907</v>
      </c>
    </row>
    <row r="309" spans="1:10" ht="16.5" customHeight="1">
      <c r="A309" s="91"/>
      <c r="B309" s="93">
        <f>SUM(Reb__Est__por_faixa_etária!O25)</f>
        <v>386941</v>
      </c>
      <c r="C309" s="93">
        <f>SUM('Leite_-_Produção'!X28)</f>
        <v>14046</v>
      </c>
      <c r="H309" s="91"/>
      <c r="I309" s="91"/>
      <c r="J309" s="94">
        <f>SUM('Leite_-_Produção'!R28)</f>
        <v>559604.907</v>
      </c>
    </row>
  </sheetData>
  <sheetProtection/>
  <mergeCells count="600">
    <mergeCell ref="J9:J10"/>
    <mergeCell ref="K9:K10"/>
    <mergeCell ref="L9:L10"/>
    <mergeCell ref="M9:M10"/>
    <mergeCell ref="P9:P10"/>
    <mergeCell ref="A11:A12"/>
    <mergeCell ref="B11:B12"/>
    <mergeCell ref="L11:L12"/>
    <mergeCell ref="B9:B10"/>
    <mergeCell ref="C9:D9"/>
    <mergeCell ref="E9:F9"/>
    <mergeCell ref="H9:H10"/>
    <mergeCell ref="L15:L16"/>
    <mergeCell ref="M15:M16"/>
    <mergeCell ref="A14:A16"/>
    <mergeCell ref="B14:D14"/>
    <mergeCell ref="E14:G14"/>
    <mergeCell ref="H14:H16"/>
    <mergeCell ref="J14:J16"/>
    <mergeCell ref="K14:M14"/>
    <mergeCell ref="L24:L25"/>
    <mergeCell ref="M24:M25"/>
    <mergeCell ref="N14:P15"/>
    <mergeCell ref="B15:B16"/>
    <mergeCell ref="C15:C16"/>
    <mergeCell ref="D15:D16"/>
    <mergeCell ref="E15:E16"/>
    <mergeCell ref="F15:F16"/>
    <mergeCell ref="G15:G16"/>
    <mergeCell ref="K15:K16"/>
    <mergeCell ref="J29:J31"/>
    <mergeCell ref="K29:M29"/>
    <mergeCell ref="E19:H19"/>
    <mergeCell ref="N19:P19"/>
    <mergeCell ref="B24:B25"/>
    <mergeCell ref="C24:D24"/>
    <mergeCell ref="E24:F24"/>
    <mergeCell ref="H24:H25"/>
    <mergeCell ref="J24:J25"/>
    <mergeCell ref="K24:K25"/>
    <mergeCell ref="L30:L31"/>
    <mergeCell ref="M30:M31"/>
    <mergeCell ref="P24:P25"/>
    <mergeCell ref="A26:A27"/>
    <mergeCell ref="B26:B27"/>
    <mergeCell ref="L26:L27"/>
    <mergeCell ref="A29:A31"/>
    <mergeCell ref="B29:D29"/>
    <mergeCell ref="E29:G29"/>
    <mergeCell ref="H29:H31"/>
    <mergeCell ref="L39:L40"/>
    <mergeCell ref="M39:M40"/>
    <mergeCell ref="N29:P30"/>
    <mergeCell ref="B30:B31"/>
    <mergeCell ref="C30:C31"/>
    <mergeCell ref="D30:D31"/>
    <mergeCell ref="E30:E31"/>
    <mergeCell ref="F30:F31"/>
    <mergeCell ref="G30:G31"/>
    <mergeCell ref="K30:K31"/>
    <mergeCell ref="J44:J46"/>
    <mergeCell ref="K44:M44"/>
    <mergeCell ref="E34:H34"/>
    <mergeCell ref="N34:P34"/>
    <mergeCell ref="B39:B40"/>
    <mergeCell ref="C39:D39"/>
    <mergeCell ref="E39:F39"/>
    <mergeCell ref="H39:H40"/>
    <mergeCell ref="J39:J40"/>
    <mergeCell ref="K39:K40"/>
    <mergeCell ref="L45:L46"/>
    <mergeCell ref="M45:M46"/>
    <mergeCell ref="P39:P40"/>
    <mergeCell ref="A41:A42"/>
    <mergeCell ref="B41:B42"/>
    <mergeCell ref="L41:L42"/>
    <mergeCell ref="A44:A46"/>
    <mergeCell ref="B44:D44"/>
    <mergeCell ref="E44:G44"/>
    <mergeCell ref="H44:H46"/>
    <mergeCell ref="L54:L55"/>
    <mergeCell ref="M54:M55"/>
    <mergeCell ref="N44:P45"/>
    <mergeCell ref="B45:B46"/>
    <mergeCell ref="C45:C46"/>
    <mergeCell ref="D45:D46"/>
    <mergeCell ref="E45:E46"/>
    <mergeCell ref="F45:F46"/>
    <mergeCell ref="G45:G46"/>
    <mergeCell ref="K45:K46"/>
    <mergeCell ref="J59:J61"/>
    <mergeCell ref="K59:M59"/>
    <mergeCell ref="E49:H49"/>
    <mergeCell ref="N49:P49"/>
    <mergeCell ref="B54:B55"/>
    <mergeCell ref="C54:D54"/>
    <mergeCell ref="E54:F54"/>
    <mergeCell ref="H54:H55"/>
    <mergeCell ref="J54:J55"/>
    <mergeCell ref="K54:K55"/>
    <mergeCell ref="L60:L61"/>
    <mergeCell ref="M60:M61"/>
    <mergeCell ref="P54:P55"/>
    <mergeCell ref="A56:A57"/>
    <mergeCell ref="B56:B57"/>
    <mergeCell ref="L56:L57"/>
    <mergeCell ref="A59:A61"/>
    <mergeCell ref="B59:D59"/>
    <mergeCell ref="E59:G59"/>
    <mergeCell ref="H59:H61"/>
    <mergeCell ref="L69:L70"/>
    <mergeCell ref="M69:M70"/>
    <mergeCell ref="N59:P60"/>
    <mergeCell ref="B60:B61"/>
    <mergeCell ref="C60:C61"/>
    <mergeCell ref="D60:D61"/>
    <mergeCell ref="E60:E61"/>
    <mergeCell ref="F60:F61"/>
    <mergeCell ref="G60:G61"/>
    <mergeCell ref="K60:K61"/>
    <mergeCell ref="J74:J76"/>
    <mergeCell ref="K74:M74"/>
    <mergeCell ref="E64:H64"/>
    <mergeCell ref="N64:P64"/>
    <mergeCell ref="B69:B70"/>
    <mergeCell ref="C69:D69"/>
    <mergeCell ref="E69:F69"/>
    <mergeCell ref="H69:H70"/>
    <mergeCell ref="J69:J70"/>
    <mergeCell ref="K69:K70"/>
    <mergeCell ref="L75:L76"/>
    <mergeCell ref="M75:M76"/>
    <mergeCell ref="P69:P70"/>
    <mergeCell ref="A71:A72"/>
    <mergeCell ref="B71:B72"/>
    <mergeCell ref="L71:L72"/>
    <mergeCell ref="A74:A76"/>
    <mergeCell ref="B74:D74"/>
    <mergeCell ref="E74:G74"/>
    <mergeCell ref="H74:H76"/>
    <mergeCell ref="L84:L85"/>
    <mergeCell ref="M84:M85"/>
    <mergeCell ref="N74:P75"/>
    <mergeCell ref="B75:B76"/>
    <mergeCell ref="C75:C76"/>
    <mergeCell ref="D75:D76"/>
    <mergeCell ref="E75:E76"/>
    <mergeCell ref="F75:F76"/>
    <mergeCell ref="G75:G76"/>
    <mergeCell ref="K75:K76"/>
    <mergeCell ref="J89:J91"/>
    <mergeCell ref="K89:M89"/>
    <mergeCell ref="E79:H79"/>
    <mergeCell ref="N79:P79"/>
    <mergeCell ref="B84:B85"/>
    <mergeCell ref="C84:D84"/>
    <mergeCell ref="E84:F84"/>
    <mergeCell ref="H84:H85"/>
    <mergeCell ref="J84:J85"/>
    <mergeCell ref="K84:K85"/>
    <mergeCell ref="L90:L91"/>
    <mergeCell ref="M90:M91"/>
    <mergeCell ref="P84:P85"/>
    <mergeCell ref="A86:A87"/>
    <mergeCell ref="B86:B87"/>
    <mergeCell ref="L86:L87"/>
    <mergeCell ref="A89:A91"/>
    <mergeCell ref="B89:D89"/>
    <mergeCell ref="E89:G89"/>
    <mergeCell ref="H89:H91"/>
    <mergeCell ref="L99:L100"/>
    <mergeCell ref="M99:M100"/>
    <mergeCell ref="N89:P90"/>
    <mergeCell ref="B90:B91"/>
    <mergeCell ref="C90:C91"/>
    <mergeCell ref="D90:D91"/>
    <mergeCell ref="E90:E91"/>
    <mergeCell ref="F90:F91"/>
    <mergeCell ref="G90:G91"/>
    <mergeCell ref="K90:K91"/>
    <mergeCell ref="J104:J106"/>
    <mergeCell ref="K104:M104"/>
    <mergeCell ref="E94:H94"/>
    <mergeCell ref="N94:P94"/>
    <mergeCell ref="B99:B100"/>
    <mergeCell ref="C99:D99"/>
    <mergeCell ref="E99:F99"/>
    <mergeCell ref="H99:H100"/>
    <mergeCell ref="J99:J100"/>
    <mergeCell ref="K99:K100"/>
    <mergeCell ref="L105:L106"/>
    <mergeCell ref="M105:M106"/>
    <mergeCell ref="P99:P100"/>
    <mergeCell ref="A101:A102"/>
    <mergeCell ref="B101:B102"/>
    <mergeCell ref="L101:L102"/>
    <mergeCell ref="A104:A106"/>
    <mergeCell ref="B104:D104"/>
    <mergeCell ref="E104:G104"/>
    <mergeCell ref="H104:H106"/>
    <mergeCell ref="L114:L115"/>
    <mergeCell ref="M114:M115"/>
    <mergeCell ref="N104:P105"/>
    <mergeCell ref="B105:B106"/>
    <mergeCell ref="C105:C106"/>
    <mergeCell ref="D105:D106"/>
    <mergeCell ref="E105:E106"/>
    <mergeCell ref="F105:F106"/>
    <mergeCell ref="G105:G106"/>
    <mergeCell ref="K105:K106"/>
    <mergeCell ref="J119:J121"/>
    <mergeCell ref="K119:M119"/>
    <mergeCell ref="E109:H109"/>
    <mergeCell ref="N109:P109"/>
    <mergeCell ref="B114:B115"/>
    <mergeCell ref="C114:D114"/>
    <mergeCell ref="E114:F114"/>
    <mergeCell ref="H114:H115"/>
    <mergeCell ref="J114:J115"/>
    <mergeCell ref="K114:K115"/>
    <mergeCell ref="L120:L121"/>
    <mergeCell ref="M120:M121"/>
    <mergeCell ref="P114:P115"/>
    <mergeCell ref="A116:A117"/>
    <mergeCell ref="B116:B117"/>
    <mergeCell ref="L116:L117"/>
    <mergeCell ref="A119:A121"/>
    <mergeCell ref="B119:D119"/>
    <mergeCell ref="E119:G119"/>
    <mergeCell ref="H119:H121"/>
    <mergeCell ref="L129:L130"/>
    <mergeCell ref="M129:M130"/>
    <mergeCell ref="N119:P120"/>
    <mergeCell ref="B120:B121"/>
    <mergeCell ref="C120:C121"/>
    <mergeCell ref="D120:D121"/>
    <mergeCell ref="E120:E121"/>
    <mergeCell ref="F120:F121"/>
    <mergeCell ref="G120:G121"/>
    <mergeCell ref="K120:K121"/>
    <mergeCell ref="J134:J136"/>
    <mergeCell ref="K134:M134"/>
    <mergeCell ref="E124:H124"/>
    <mergeCell ref="N124:P124"/>
    <mergeCell ref="B129:B130"/>
    <mergeCell ref="C129:D129"/>
    <mergeCell ref="E129:F129"/>
    <mergeCell ref="H129:H130"/>
    <mergeCell ref="J129:J130"/>
    <mergeCell ref="K129:K130"/>
    <mergeCell ref="L135:L136"/>
    <mergeCell ref="M135:M136"/>
    <mergeCell ref="P129:P130"/>
    <mergeCell ref="A131:A132"/>
    <mergeCell ref="B131:B132"/>
    <mergeCell ref="L131:L132"/>
    <mergeCell ref="A134:A136"/>
    <mergeCell ref="B134:D134"/>
    <mergeCell ref="E134:G134"/>
    <mergeCell ref="H134:H136"/>
    <mergeCell ref="L144:L145"/>
    <mergeCell ref="M144:M145"/>
    <mergeCell ref="N134:P135"/>
    <mergeCell ref="B135:B136"/>
    <mergeCell ref="C135:C136"/>
    <mergeCell ref="D135:D136"/>
    <mergeCell ref="E135:E136"/>
    <mergeCell ref="F135:F136"/>
    <mergeCell ref="G135:G136"/>
    <mergeCell ref="K135:K136"/>
    <mergeCell ref="J149:J151"/>
    <mergeCell ref="K149:M149"/>
    <mergeCell ref="E139:H139"/>
    <mergeCell ref="N139:P139"/>
    <mergeCell ref="B144:B145"/>
    <mergeCell ref="C144:D144"/>
    <mergeCell ref="E144:F144"/>
    <mergeCell ref="H144:H145"/>
    <mergeCell ref="J144:J145"/>
    <mergeCell ref="K144:K145"/>
    <mergeCell ref="L150:L151"/>
    <mergeCell ref="M150:M151"/>
    <mergeCell ref="P144:P145"/>
    <mergeCell ref="A146:A147"/>
    <mergeCell ref="B146:B147"/>
    <mergeCell ref="L146:L147"/>
    <mergeCell ref="A149:A151"/>
    <mergeCell ref="B149:D149"/>
    <mergeCell ref="E149:G149"/>
    <mergeCell ref="H149:H151"/>
    <mergeCell ref="L159:L160"/>
    <mergeCell ref="M159:M160"/>
    <mergeCell ref="N149:P150"/>
    <mergeCell ref="B150:B151"/>
    <mergeCell ref="C150:C151"/>
    <mergeCell ref="D150:D151"/>
    <mergeCell ref="E150:E151"/>
    <mergeCell ref="F150:F151"/>
    <mergeCell ref="G150:G151"/>
    <mergeCell ref="K150:K151"/>
    <mergeCell ref="J164:J166"/>
    <mergeCell ref="K164:M164"/>
    <mergeCell ref="E154:H154"/>
    <mergeCell ref="N154:P154"/>
    <mergeCell ref="B159:B160"/>
    <mergeCell ref="C159:D159"/>
    <mergeCell ref="E159:F159"/>
    <mergeCell ref="H159:H160"/>
    <mergeCell ref="J159:J160"/>
    <mergeCell ref="K159:K160"/>
    <mergeCell ref="L165:L166"/>
    <mergeCell ref="M165:M166"/>
    <mergeCell ref="P159:P160"/>
    <mergeCell ref="A161:A162"/>
    <mergeCell ref="B161:B162"/>
    <mergeCell ref="L161:L162"/>
    <mergeCell ref="A164:A166"/>
    <mergeCell ref="B164:D164"/>
    <mergeCell ref="E164:G164"/>
    <mergeCell ref="H164:H166"/>
    <mergeCell ref="L174:L175"/>
    <mergeCell ref="M174:M175"/>
    <mergeCell ref="N164:P165"/>
    <mergeCell ref="B165:B166"/>
    <mergeCell ref="C165:C166"/>
    <mergeCell ref="D165:D166"/>
    <mergeCell ref="E165:E166"/>
    <mergeCell ref="F165:F166"/>
    <mergeCell ref="G165:G166"/>
    <mergeCell ref="K165:K166"/>
    <mergeCell ref="J179:J181"/>
    <mergeCell ref="K179:M179"/>
    <mergeCell ref="E169:H169"/>
    <mergeCell ref="N169:P169"/>
    <mergeCell ref="B174:B175"/>
    <mergeCell ref="C174:D174"/>
    <mergeCell ref="E174:F174"/>
    <mergeCell ref="H174:H175"/>
    <mergeCell ref="J174:J175"/>
    <mergeCell ref="K174:K175"/>
    <mergeCell ref="L180:L181"/>
    <mergeCell ref="M180:M181"/>
    <mergeCell ref="P174:P175"/>
    <mergeCell ref="A176:A177"/>
    <mergeCell ref="B176:B177"/>
    <mergeCell ref="L176:L177"/>
    <mergeCell ref="A179:A181"/>
    <mergeCell ref="B179:D179"/>
    <mergeCell ref="E179:G179"/>
    <mergeCell ref="H179:H181"/>
    <mergeCell ref="L189:L190"/>
    <mergeCell ref="M189:M190"/>
    <mergeCell ref="N179:P180"/>
    <mergeCell ref="B180:B181"/>
    <mergeCell ref="C180:C181"/>
    <mergeCell ref="D180:D181"/>
    <mergeCell ref="E180:E181"/>
    <mergeCell ref="F180:F181"/>
    <mergeCell ref="G180:G181"/>
    <mergeCell ref="K180:K181"/>
    <mergeCell ref="J194:J196"/>
    <mergeCell ref="K194:M194"/>
    <mergeCell ref="E184:H184"/>
    <mergeCell ref="N184:P184"/>
    <mergeCell ref="B189:B190"/>
    <mergeCell ref="C189:D189"/>
    <mergeCell ref="E189:F189"/>
    <mergeCell ref="H189:H190"/>
    <mergeCell ref="J189:J190"/>
    <mergeCell ref="K189:K190"/>
    <mergeCell ref="L195:L196"/>
    <mergeCell ref="M195:M196"/>
    <mergeCell ref="P189:P190"/>
    <mergeCell ref="A191:A192"/>
    <mergeCell ref="B191:B192"/>
    <mergeCell ref="L191:L192"/>
    <mergeCell ref="A194:A196"/>
    <mergeCell ref="B194:D194"/>
    <mergeCell ref="E194:G194"/>
    <mergeCell ref="H194:H196"/>
    <mergeCell ref="L204:L205"/>
    <mergeCell ref="M204:M205"/>
    <mergeCell ref="N194:P195"/>
    <mergeCell ref="B195:B196"/>
    <mergeCell ref="C195:C196"/>
    <mergeCell ref="D195:D196"/>
    <mergeCell ref="E195:E196"/>
    <mergeCell ref="F195:F196"/>
    <mergeCell ref="G195:G196"/>
    <mergeCell ref="K195:K196"/>
    <mergeCell ref="J209:J211"/>
    <mergeCell ref="K209:M209"/>
    <mergeCell ref="E199:H199"/>
    <mergeCell ref="N199:P199"/>
    <mergeCell ref="B204:B205"/>
    <mergeCell ref="C204:D204"/>
    <mergeCell ref="E204:F204"/>
    <mergeCell ref="H204:H205"/>
    <mergeCell ref="J204:J205"/>
    <mergeCell ref="K204:K205"/>
    <mergeCell ref="L210:L211"/>
    <mergeCell ref="M210:M211"/>
    <mergeCell ref="P204:P205"/>
    <mergeCell ref="A206:A207"/>
    <mergeCell ref="B206:B207"/>
    <mergeCell ref="L206:L207"/>
    <mergeCell ref="A209:A211"/>
    <mergeCell ref="B209:D209"/>
    <mergeCell ref="E209:G209"/>
    <mergeCell ref="H209:H211"/>
    <mergeCell ref="L219:L220"/>
    <mergeCell ref="M219:M220"/>
    <mergeCell ref="N209:P210"/>
    <mergeCell ref="B210:B211"/>
    <mergeCell ref="C210:C211"/>
    <mergeCell ref="D210:D211"/>
    <mergeCell ref="E210:E211"/>
    <mergeCell ref="F210:F211"/>
    <mergeCell ref="G210:G211"/>
    <mergeCell ref="K210:K211"/>
    <mergeCell ref="J224:J226"/>
    <mergeCell ref="K224:M224"/>
    <mergeCell ref="E214:H214"/>
    <mergeCell ref="N214:P214"/>
    <mergeCell ref="B219:B220"/>
    <mergeCell ref="C219:D219"/>
    <mergeCell ref="E219:F219"/>
    <mergeCell ref="H219:H220"/>
    <mergeCell ref="J219:J220"/>
    <mergeCell ref="K219:K220"/>
    <mergeCell ref="L225:L226"/>
    <mergeCell ref="M225:M226"/>
    <mergeCell ref="P219:P220"/>
    <mergeCell ref="A221:A222"/>
    <mergeCell ref="B221:B222"/>
    <mergeCell ref="L221:L222"/>
    <mergeCell ref="A224:A226"/>
    <mergeCell ref="B224:D224"/>
    <mergeCell ref="E224:G224"/>
    <mergeCell ref="H224:H226"/>
    <mergeCell ref="L234:L235"/>
    <mergeCell ref="M234:M235"/>
    <mergeCell ref="N224:P225"/>
    <mergeCell ref="B225:B226"/>
    <mergeCell ref="C225:C226"/>
    <mergeCell ref="D225:D226"/>
    <mergeCell ref="E225:E226"/>
    <mergeCell ref="F225:F226"/>
    <mergeCell ref="G225:G226"/>
    <mergeCell ref="K225:K226"/>
    <mergeCell ref="J239:J241"/>
    <mergeCell ref="K239:M239"/>
    <mergeCell ref="E229:H229"/>
    <mergeCell ref="N229:P229"/>
    <mergeCell ref="B234:B235"/>
    <mergeCell ref="C234:D234"/>
    <mergeCell ref="E234:F234"/>
    <mergeCell ref="H234:H235"/>
    <mergeCell ref="J234:J235"/>
    <mergeCell ref="K234:K235"/>
    <mergeCell ref="L240:L241"/>
    <mergeCell ref="M240:M241"/>
    <mergeCell ref="P234:P235"/>
    <mergeCell ref="A236:A237"/>
    <mergeCell ref="B236:B237"/>
    <mergeCell ref="L236:L237"/>
    <mergeCell ref="A239:A241"/>
    <mergeCell ref="B239:D239"/>
    <mergeCell ref="E239:G239"/>
    <mergeCell ref="H239:H241"/>
    <mergeCell ref="L249:L250"/>
    <mergeCell ref="M249:M250"/>
    <mergeCell ref="N239:P240"/>
    <mergeCell ref="B240:B241"/>
    <mergeCell ref="C240:C241"/>
    <mergeCell ref="D240:D241"/>
    <mergeCell ref="E240:E241"/>
    <mergeCell ref="F240:F241"/>
    <mergeCell ref="G240:G241"/>
    <mergeCell ref="K240:K241"/>
    <mergeCell ref="J254:J256"/>
    <mergeCell ref="K254:M254"/>
    <mergeCell ref="E244:H244"/>
    <mergeCell ref="N244:P244"/>
    <mergeCell ref="B249:B250"/>
    <mergeCell ref="C249:D249"/>
    <mergeCell ref="E249:F249"/>
    <mergeCell ref="H249:H250"/>
    <mergeCell ref="J249:J250"/>
    <mergeCell ref="K249:K250"/>
    <mergeCell ref="L255:L256"/>
    <mergeCell ref="M255:M256"/>
    <mergeCell ref="P249:P250"/>
    <mergeCell ref="A251:A252"/>
    <mergeCell ref="B251:B252"/>
    <mergeCell ref="L251:L252"/>
    <mergeCell ref="A254:A256"/>
    <mergeCell ref="B254:D254"/>
    <mergeCell ref="E254:G254"/>
    <mergeCell ref="H254:H256"/>
    <mergeCell ref="L264:L265"/>
    <mergeCell ref="M264:M265"/>
    <mergeCell ref="N254:P255"/>
    <mergeCell ref="B255:B256"/>
    <mergeCell ref="C255:C256"/>
    <mergeCell ref="D255:D256"/>
    <mergeCell ref="E255:E256"/>
    <mergeCell ref="F255:F256"/>
    <mergeCell ref="G255:G256"/>
    <mergeCell ref="K255:K256"/>
    <mergeCell ref="J269:J271"/>
    <mergeCell ref="K269:M269"/>
    <mergeCell ref="E259:H259"/>
    <mergeCell ref="N259:P259"/>
    <mergeCell ref="B264:B265"/>
    <mergeCell ref="C264:D264"/>
    <mergeCell ref="E264:F264"/>
    <mergeCell ref="H264:H265"/>
    <mergeCell ref="J264:J265"/>
    <mergeCell ref="K264:K265"/>
    <mergeCell ref="L270:L271"/>
    <mergeCell ref="M270:M271"/>
    <mergeCell ref="P264:P265"/>
    <mergeCell ref="A266:A267"/>
    <mergeCell ref="B266:B267"/>
    <mergeCell ref="L266:L267"/>
    <mergeCell ref="A269:A271"/>
    <mergeCell ref="B269:D269"/>
    <mergeCell ref="E269:G269"/>
    <mergeCell ref="H269:H271"/>
    <mergeCell ref="L279:L280"/>
    <mergeCell ref="M279:M280"/>
    <mergeCell ref="N269:P270"/>
    <mergeCell ref="B270:B271"/>
    <mergeCell ref="C270:C271"/>
    <mergeCell ref="D270:D271"/>
    <mergeCell ref="E270:E271"/>
    <mergeCell ref="F270:F271"/>
    <mergeCell ref="G270:G271"/>
    <mergeCell ref="K270:K271"/>
    <mergeCell ref="J284:J286"/>
    <mergeCell ref="K284:M284"/>
    <mergeCell ref="E274:H274"/>
    <mergeCell ref="N274:P274"/>
    <mergeCell ref="B279:B280"/>
    <mergeCell ref="C279:D279"/>
    <mergeCell ref="E279:F279"/>
    <mergeCell ref="H279:H280"/>
    <mergeCell ref="J279:J280"/>
    <mergeCell ref="K279:K280"/>
    <mergeCell ref="L285:L286"/>
    <mergeCell ref="M285:M286"/>
    <mergeCell ref="P279:P280"/>
    <mergeCell ref="A281:A282"/>
    <mergeCell ref="B281:B282"/>
    <mergeCell ref="L281:L282"/>
    <mergeCell ref="A284:A286"/>
    <mergeCell ref="B284:D284"/>
    <mergeCell ref="E284:G284"/>
    <mergeCell ref="H284:H286"/>
    <mergeCell ref="L294:L295"/>
    <mergeCell ref="M294:M295"/>
    <mergeCell ref="N284:P285"/>
    <mergeCell ref="B285:B286"/>
    <mergeCell ref="C285:C286"/>
    <mergeCell ref="D285:D286"/>
    <mergeCell ref="E285:E286"/>
    <mergeCell ref="F285:F286"/>
    <mergeCell ref="G285:G286"/>
    <mergeCell ref="K285:K286"/>
    <mergeCell ref="J299:J301"/>
    <mergeCell ref="K299:M299"/>
    <mergeCell ref="E289:H289"/>
    <mergeCell ref="N289:P289"/>
    <mergeCell ref="B294:B295"/>
    <mergeCell ref="C294:D294"/>
    <mergeCell ref="E294:F294"/>
    <mergeCell ref="H294:H295"/>
    <mergeCell ref="J294:J295"/>
    <mergeCell ref="K294:K295"/>
    <mergeCell ref="L300:L301"/>
    <mergeCell ref="M300:M301"/>
    <mergeCell ref="P294:P295"/>
    <mergeCell ref="A296:A297"/>
    <mergeCell ref="B296:B297"/>
    <mergeCell ref="L296:L297"/>
    <mergeCell ref="A299:A301"/>
    <mergeCell ref="B299:D299"/>
    <mergeCell ref="E299:G299"/>
    <mergeCell ref="H299:H301"/>
    <mergeCell ref="E304:H304"/>
    <mergeCell ref="N304:P304"/>
    <mergeCell ref="N299:P300"/>
    <mergeCell ref="B300:B301"/>
    <mergeCell ref="C300:C301"/>
    <mergeCell ref="D300:D301"/>
    <mergeCell ref="E300:E301"/>
    <mergeCell ref="F300:F301"/>
    <mergeCell ref="G300:G301"/>
    <mergeCell ref="K300:K301"/>
  </mergeCells>
  <conditionalFormatting sqref="B19">
    <cfRule type="expression" priority="1" dxfId="144" stopIfTrue="1">
      <formula>OR(B19&lt;$AD$4,B19&gt;$AD$5)</formula>
    </cfRule>
  </conditionalFormatting>
  <conditionalFormatting sqref="B34">
    <cfRule type="expression" priority="2" dxfId="144" stopIfTrue="1">
      <formula>OR(B34&lt;$AD$4,B34&gt;$AD$5)</formula>
    </cfRule>
  </conditionalFormatting>
  <conditionalFormatting sqref="B49">
    <cfRule type="expression" priority="3" dxfId="144" stopIfTrue="1">
      <formula>OR(B49&lt;$AD$4,B49&gt;$AD$5)</formula>
    </cfRule>
  </conditionalFormatting>
  <conditionalFormatting sqref="B64">
    <cfRule type="expression" priority="4" dxfId="144" stopIfTrue="1">
      <formula>OR(B64&lt;$AD$4,B64&gt;$AD$5)</formula>
    </cfRule>
  </conditionalFormatting>
  <conditionalFormatting sqref="B79">
    <cfRule type="expression" priority="5" dxfId="144" stopIfTrue="1">
      <formula>OR(B79&lt;$AD$4,B79&gt;$AD$5)</formula>
    </cfRule>
  </conditionalFormatting>
  <conditionalFormatting sqref="B94">
    <cfRule type="expression" priority="6" dxfId="144" stopIfTrue="1">
      <formula>OR(B94&lt;$AD$4,B94&gt;$AD$5)</formula>
    </cfRule>
  </conditionalFormatting>
  <conditionalFormatting sqref="B109">
    <cfRule type="expression" priority="7" dxfId="144" stopIfTrue="1">
      <formula>OR(B109&lt;$AD$4,B109&gt;$AD$5)</formula>
    </cfRule>
  </conditionalFormatting>
  <conditionalFormatting sqref="B124">
    <cfRule type="expression" priority="8" dxfId="144" stopIfTrue="1">
      <formula>OR(B124&lt;$AD$4,B124&gt;$AD$5)</formula>
    </cfRule>
  </conditionalFormatting>
  <conditionalFormatting sqref="B139">
    <cfRule type="expression" priority="9" dxfId="144" stopIfTrue="1">
      <formula>OR(B139&lt;$AD$4,B139&gt;$AD$5)</formula>
    </cfRule>
  </conditionalFormatting>
  <conditionalFormatting sqref="B154">
    <cfRule type="expression" priority="10" dxfId="144" stopIfTrue="1">
      <formula>OR(B154&lt;$AD$4,B154&gt;$AD$5)</formula>
    </cfRule>
  </conditionalFormatting>
  <conditionalFormatting sqref="B169">
    <cfRule type="expression" priority="11" dxfId="144" stopIfTrue="1">
      <formula>OR(B169&lt;$AD$4,B169&gt;$AD$5)</formula>
    </cfRule>
  </conditionalFormatting>
  <conditionalFormatting sqref="B184">
    <cfRule type="expression" priority="12" dxfId="144" stopIfTrue="1">
      <formula>OR(B184&lt;$AD$4,B184&gt;$AD$5)</formula>
    </cfRule>
  </conditionalFormatting>
  <conditionalFormatting sqref="B199">
    <cfRule type="expression" priority="13" dxfId="144" stopIfTrue="1">
      <formula>OR(B199&lt;$AD$4,B199&gt;$AD$5)</formula>
    </cfRule>
  </conditionalFormatting>
  <conditionalFormatting sqref="B214">
    <cfRule type="expression" priority="14" dxfId="144" stopIfTrue="1">
      <formula>OR(B214&lt;$AD$4,B214&gt;$AD$5)</formula>
    </cfRule>
  </conditionalFormatting>
  <conditionalFormatting sqref="B229">
    <cfRule type="expression" priority="15" dxfId="144" stopIfTrue="1">
      <formula>OR(B229&lt;$AD$4,B229&gt;$AD$5)</formula>
    </cfRule>
  </conditionalFormatting>
  <conditionalFormatting sqref="B244">
    <cfRule type="expression" priority="16" dxfId="144" stopIfTrue="1">
      <formula>OR(B244&lt;$AD$4,B244&gt;$AD$5)</formula>
    </cfRule>
  </conditionalFormatting>
  <conditionalFormatting sqref="B259">
    <cfRule type="expression" priority="17" dxfId="144" stopIfTrue="1">
      <formula>OR(B259&lt;$AD$4,B259&gt;$AD$5)</formula>
    </cfRule>
  </conditionalFormatting>
  <conditionalFormatting sqref="B274">
    <cfRule type="expression" priority="18" dxfId="144" stopIfTrue="1">
      <formula>OR(B274&lt;$AD$4,B274&gt;$AD$5)</formula>
    </cfRule>
  </conditionalFormatting>
  <conditionalFormatting sqref="B289">
    <cfRule type="expression" priority="19" dxfId="144" stopIfTrue="1">
      <formula>OR(B289&lt;$AD$4,B289&gt;$AD$5)</formula>
    </cfRule>
  </conditionalFormatting>
  <conditionalFormatting sqref="B304">
    <cfRule type="expression" priority="20" dxfId="144" stopIfTrue="1">
      <formula>OR(B304&lt;$AD$4,B304&gt;$AD$5)</formula>
    </cfRule>
  </conditionalFormatting>
  <conditionalFormatting sqref="E17:E18 F18">
    <cfRule type="expression" priority="21" dxfId="145" stopIfTrue="1">
      <formula>NA()</formula>
    </cfRule>
  </conditionalFormatting>
  <conditionalFormatting sqref="G17">
    <cfRule type="expression" priority="22" dxfId="145" stopIfTrue="1">
      <formula>NA()</formula>
    </cfRule>
  </conditionalFormatting>
  <conditionalFormatting sqref="E32:E33 F33">
    <cfRule type="expression" priority="23" dxfId="145" stopIfTrue="1">
      <formula>NA()</formula>
    </cfRule>
  </conditionalFormatting>
  <conditionalFormatting sqref="G32">
    <cfRule type="expression" priority="24" dxfId="145" stopIfTrue="1">
      <formula>NA()</formula>
    </cfRule>
  </conditionalFormatting>
  <conditionalFormatting sqref="E47:E48 F48">
    <cfRule type="expression" priority="25" dxfId="145" stopIfTrue="1">
      <formula>NA()</formula>
    </cfRule>
  </conditionalFormatting>
  <conditionalFormatting sqref="G47">
    <cfRule type="expression" priority="26" dxfId="145" stopIfTrue="1">
      <formula>NA()</formula>
    </cfRule>
  </conditionalFormatting>
  <conditionalFormatting sqref="E62:E63 F63">
    <cfRule type="expression" priority="27" dxfId="145" stopIfTrue="1">
      <formula>NA()</formula>
    </cfRule>
  </conditionalFormatting>
  <conditionalFormatting sqref="G62">
    <cfRule type="expression" priority="28" dxfId="145" stopIfTrue="1">
      <formula>NA()</formula>
    </cfRule>
  </conditionalFormatting>
  <conditionalFormatting sqref="E77:E78 F78">
    <cfRule type="expression" priority="29" dxfId="145" stopIfTrue="1">
      <formula>NA()</formula>
    </cfRule>
  </conditionalFormatting>
  <conditionalFormatting sqref="G77">
    <cfRule type="expression" priority="30" dxfId="145" stopIfTrue="1">
      <formula>NA()</formula>
    </cfRule>
  </conditionalFormatting>
  <conditionalFormatting sqref="E92:E93 F93">
    <cfRule type="expression" priority="31" dxfId="145" stopIfTrue="1">
      <formula>NA()</formula>
    </cfRule>
  </conditionalFormatting>
  <conditionalFormatting sqref="G92">
    <cfRule type="expression" priority="32" dxfId="145" stopIfTrue="1">
      <formula>NA()</formula>
    </cfRule>
  </conditionalFormatting>
  <conditionalFormatting sqref="E107:E108 F108">
    <cfRule type="expression" priority="33" dxfId="145" stopIfTrue="1">
      <formula>NA()</formula>
    </cfRule>
  </conditionalFormatting>
  <conditionalFormatting sqref="G107">
    <cfRule type="expression" priority="34" dxfId="145" stopIfTrue="1">
      <formula>NA()</formula>
    </cfRule>
  </conditionalFormatting>
  <conditionalFormatting sqref="E122:E123 F123">
    <cfRule type="expression" priority="35" dxfId="145" stopIfTrue="1">
      <formula>NA()</formula>
    </cfRule>
  </conditionalFormatting>
  <conditionalFormatting sqref="G122">
    <cfRule type="expression" priority="36" dxfId="145" stopIfTrue="1">
      <formula>NA()</formula>
    </cfRule>
  </conditionalFormatting>
  <conditionalFormatting sqref="E137:E138 F138">
    <cfRule type="expression" priority="37" dxfId="145" stopIfTrue="1">
      <formula>NA()</formula>
    </cfRule>
  </conditionalFormatting>
  <conditionalFormatting sqref="G137">
    <cfRule type="expression" priority="38" dxfId="145" stopIfTrue="1">
      <formula>NA()</formula>
    </cfRule>
  </conditionalFormatting>
  <conditionalFormatting sqref="E152:E153 F153">
    <cfRule type="expression" priority="39" dxfId="145" stopIfTrue="1">
      <formula>NA()</formula>
    </cfRule>
  </conditionalFormatting>
  <conditionalFormatting sqref="G152">
    <cfRule type="expression" priority="40" dxfId="145" stopIfTrue="1">
      <formula>NA()</formula>
    </cfRule>
  </conditionalFormatting>
  <conditionalFormatting sqref="E167:E168 F168">
    <cfRule type="expression" priority="41" dxfId="145" stopIfTrue="1">
      <formula>NA()</formula>
    </cfRule>
  </conditionalFormatting>
  <conditionalFormatting sqref="G167">
    <cfRule type="expression" priority="42" dxfId="145" stopIfTrue="1">
      <formula>NA()</formula>
    </cfRule>
  </conditionalFormatting>
  <conditionalFormatting sqref="E182:E183 F183">
    <cfRule type="expression" priority="43" dxfId="145" stopIfTrue="1">
      <formula>NA()</formula>
    </cfRule>
  </conditionalFormatting>
  <conditionalFormatting sqref="G182">
    <cfRule type="expression" priority="44" dxfId="145" stopIfTrue="1">
      <formula>NA()</formula>
    </cfRule>
  </conditionalFormatting>
  <conditionalFormatting sqref="E197:E198 F198">
    <cfRule type="expression" priority="45" dxfId="145" stopIfTrue="1">
      <formula>NA()</formula>
    </cfRule>
  </conditionalFormatting>
  <conditionalFormatting sqref="G197">
    <cfRule type="expression" priority="46" dxfId="145" stopIfTrue="1">
      <formula>NA()</formula>
    </cfRule>
  </conditionalFormatting>
  <conditionalFormatting sqref="E212:E213 F213">
    <cfRule type="expression" priority="47" dxfId="145" stopIfTrue="1">
      <formula>NA()</formula>
    </cfRule>
  </conditionalFormatting>
  <conditionalFormatting sqref="G212">
    <cfRule type="expression" priority="48" dxfId="145" stopIfTrue="1">
      <formula>NA()</formula>
    </cfRule>
  </conditionalFormatting>
  <conditionalFormatting sqref="E227:E228 F228">
    <cfRule type="expression" priority="49" dxfId="145" stopIfTrue="1">
      <formula>NA()</formula>
    </cfRule>
  </conditionalFormatting>
  <conditionalFormatting sqref="G227">
    <cfRule type="expression" priority="50" dxfId="145" stopIfTrue="1">
      <formula>NA()</formula>
    </cfRule>
  </conditionalFormatting>
  <conditionalFormatting sqref="E242:E243 F243">
    <cfRule type="expression" priority="51" dxfId="145" stopIfTrue="1">
      <formula>NA()</formula>
    </cfRule>
  </conditionalFormatting>
  <conditionalFormatting sqref="G242">
    <cfRule type="expression" priority="52" dxfId="145" stopIfTrue="1">
      <formula>NA()</formula>
    </cfRule>
  </conditionalFormatting>
  <conditionalFormatting sqref="E257:E258 F258">
    <cfRule type="expression" priority="53" dxfId="145" stopIfTrue="1">
      <formula>NA()</formula>
    </cfRule>
  </conditionalFormatting>
  <conditionalFormatting sqref="G257">
    <cfRule type="expression" priority="54" dxfId="145" stopIfTrue="1">
      <formula>NA()</formula>
    </cfRule>
  </conditionalFormatting>
  <conditionalFormatting sqref="E272:E273 F273">
    <cfRule type="expression" priority="55" dxfId="145" stopIfTrue="1">
      <formula>NA()</formula>
    </cfRule>
  </conditionalFormatting>
  <conditionalFormatting sqref="G272">
    <cfRule type="expression" priority="56" dxfId="145" stopIfTrue="1">
      <formula>NA()</formula>
    </cfRule>
  </conditionalFormatting>
  <conditionalFormatting sqref="E287:E288 F288">
    <cfRule type="expression" priority="57" dxfId="145" stopIfTrue="1">
      <formula>NA()</formula>
    </cfRule>
  </conditionalFormatting>
  <conditionalFormatting sqref="G287">
    <cfRule type="expression" priority="58" dxfId="145" stopIfTrue="1">
      <formula>NA()</formula>
    </cfRule>
  </conditionalFormatting>
  <conditionalFormatting sqref="E302:E303 F303">
    <cfRule type="expression" priority="59" dxfId="145" stopIfTrue="1">
      <formula>NA()</formula>
    </cfRule>
  </conditionalFormatting>
  <conditionalFormatting sqref="G302">
    <cfRule type="expression" priority="60" dxfId="145" stopIfTrue="1">
      <formula>NA()</formula>
    </cfRule>
  </conditionalFormatting>
  <conditionalFormatting sqref="G11 G26 G41 G56 G71 G86 G101 G116 G131 G146 G161 G176 G191 G206 G221 G236 G251 G266 G281 G296">
    <cfRule type="cellIs" priority="61" dxfId="146" operator="equal" stopIfTrue="1">
      <formula>"&gt;100%"</formula>
    </cfRule>
    <cfRule type="cellIs" priority="62" dxfId="146" operator="equal" stopIfTrue="1">
      <formula>"&lt;100%"</formula>
    </cfRule>
    <cfRule type="cellIs" priority="63" dxfId="147" operator="equal" stopIfTrue="1">
      <formula>"OK"</formula>
    </cfRule>
  </conditionalFormatting>
  <conditionalFormatting sqref="K19">
    <cfRule type="expression" priority="64" dxfId="144" stopIfTrue="1">
      <formula>OR(K19&lt;$AA$4,K19&gt;$AA$5)</formula>
    </cfRule>
    <cfRule type="expression" priority="65" dxfId="144" stopIfTrue="1">
      <formula>"ou(K19&lt;$AA$4;k19&gt;$AA$5)"</formula>
    </cfRule>
  </conditionalFormatting>
  <conditionalFormatting sqref="K34">
    <cfRule type="expression" priority="66" dxfId="144" stopIfTrue="1">
      <formula>OR(K34&lt;$AA$4,K34&gt;$AA$5)</formula>
    </cfRule>
    <cfRule type="expression" priority="67" dxfId="144" stopIfTrue="1">
      <formula>"ou(K19&lt;$AA$4;k19&gt;$AA$5)"</formula>
    </cfRule>
  </conditionalFormatting>
  <conditionalFormatting sqref="K49">
    <cfRule type="expression" priority="68" dxfId="144" stopIfTrue="1">
      <formula>OR(K49&lt;$AA$4,K49&gt;$AA$5)</formula>
    </cfRule>
    <cfRule type="expression" priority="69" dxfId="144" stopIfTrue="1">
      <formula>"ou(K19&lt;$AA$4;k19&gt;$AA$5)"</formula>
    </cfRule>
  </conditionalFormatting>
  <conditionalFormatting sqref="K64">
    <cfRule type="expression" priority="70" dxfId="144" stopIfTrue="1">
      <formula>OR(K64&lt;$AA$4,K64&gt;$AA$5)</formula>
    </cfRule>
    <cfRule type="expression" priority="71" dxfId="144" stopIfTrue="1">
      <formula>"ou(K19&lt;$AA$4;k19&gt;$AA$5)"</formula>
    </cfRule>
  </conditionalFormatting>
  <conditionalFormatting sqref="K79">
    <cfRule type="expression" priority="72" dxfId="144" stopIfTrue="1">
      <formula>OR(K79&lt;$AA$4,K79&gt;$AA$5)</formula>
    </cfRule>
    <cfRule type="expression" priority="73" dxfId="144" stopIfTrue="1">
      <formula>"ou(K19&lt;$AA$4;k19&gt;$AA$5)"</formula>
    </cfRule>
  </conditionalFormatting>
  <conditionalFormatting sqref="K94">
    <cfRule type="expression" priority="74" dxfId="144" stopIfTrue="1">
      <formula>OR(K94&lt;$AA$4,K94&gt;$AA$5)</formula>
    </cfRule>
    <cfRule type="expression" priority="75" dxfId="144" stopIfTrue="1">
      <formula>"ou(K19&lt;$AA$4;k19&gt;$AA$5)"</formula>
    </cfRule>
  </conditionalFormatting>
  <conditionalFormatting sqref="K109">
    <cfRule type="expression" priority="76" dxfId="144" stopIfTrue="1">
      <formula>OR(K109&lt;$AA$4,K109&gt;$AA$5)</formula>
    </cfRule>
    <cfRule type="expression" priority="77" dxfId="144" stopIfTrue="1">
      <formula>"ou(K19&lt;$AA$4;k19&gt;$AA$5)"</formula>
    </cfRule>
  </conditionalFormatting>
  <conditionalFormatting sqref="K124">
    <cfRule type="expression" priority="78" dxfId="144" stopIfTrue="1">
      <formula>OR(K124&lt;$AA$4,K124&gt;$AA$5)</formula>
    </cfRule>
    <cfRule type="expression" priority="79" dxfId="144" stopIfTrue="1">
      <formula>"ou(K19&lt;$AA$4;k19&gt;$AA$5)"</formula>
    </cfRule>
  </conditionalFormatting>
  <conditionalFormatting sqref="K139">
    <cfRule type="expression" priority="80" dxfId="144" stopIfTrue="1">
      <formula>OR(K139&lt;$AA$4,K139&gt;$AA$5)</formula>
    </cfRule>
    <cfRule type="expression" priority="81" dxfId="144" stopIfTrue="1">
      <formula>"ou(K19&lt;$AA$4;k19&gt;$AA$5)"</formula>
    </cfRule>
  </conditionalFormatting>
  <conditionalFormatting sqref="K154">
    <cfRule type="expression" priority="82" dxfId="144" stopIfTrue="1">
      <formula>OR(K154&lt;$AA$4,K154&gt;$AA$5)</formula>
    </cfRule>
    <cfRule type="expression" priority="83" dxfId="144" stopIfTrue="1">
      <formula>"ou(K19&lt;$AA$4;k19&gt;$AA$5)"</formula>
    </cfRule>
  </conditionalFormatting>
  <conditionalFormatting sqref="K169">
    <cfRule type="expression" priority="84" dxfId="144" stopIfTrue="1">
      <formula>OR(K169&lt;$AA$4,K169&gt;$AA$5)</formula>
    </cfRule>
    <cfRule type="expression" priority="85" dxfId="144" stopIfTrue="1">
      <formula>"ou(K19&lt;$AA$4;k19&gt;$AA$5)"</formula>
    </cfRule>
  </conditionalFormatting>
  <conditionalFormatting sqref="K184">
    <cfRule type="expression" priority="86" dxfId="144" stopIfTrue="1">
      <formula>OR(K184&lt;$AA$4,K184&gt;$AA$5)</formula>
    </cfRule>
    <cfRule type="expression" priority="87" dxfId="144" stopIfTrue="1">
      <formula>"ou(K19&lt;$AA$4;k19&gt;$AA$5)"</formula>
    </cfRule>
  </conditionalFormatting>
  <conditionalFormatting sqref="K199">
    <cfRule type="expression" priority="88" dxfId="144" stopIfTrue="1">
      <formula>OR(K199&lt;$AA$4,K199&gt;$AA$5)</formula>
    </cfRule>
    <cfRule type="expression" priority="89" dxfId="144" stopIfTrue="1">
      <formula>"ou(K19&lt;$AA$4;k19&gt;$AA$5)"</formula>
    </cfRule>
  </conditionalFormatting>
  <conditionalFormatting sqref="K214">
    <cfRule type="expression" priority="90" dxfId="144" stopIfTrue="1">
      <formula>OR(K214&lt;$AA$4,K214&gt;$AA$5)</formula>
    </cfRule>
    <cfRule type="expression" priority="91" dxfId="144" stopIfTrue="1">
      <formula>"ou(K19&lt;$AA$4;k19&gt;$AA$5)"</formula>
    </cfRule>
  </conditionalFormatting>
  <conditionalFormatting sqref="K229">
    <cfRule type="expression" priority="92" dxfId="144" stopIfTrue="1">
      <formula>OR(K229&lt;$AA$4,K229&gt;$AA$5)</formula>
    </cfRule>
    <cfRule type="expression" priority="93" dxfId="144" stopIfTrue="1">
      <formula>"ou(K19&lt;$AA$4;k19&gt;$AA$5)"</formula>
    </cfRule>
  </conditionalFormatting>
  <conditionalFormatting sqref="K244">
    <cfRule type="expression" priority="94" dxfId="144" stopIfTrue="1">
      <formula>OR(K244&lt;$AA$4,K244&gt;$AA$5)</formula>
    </cfRule>
    <cfRule type="expression" priority="95" dxfId="144" stopIfTrue="1">
      <formula>"ou(K19&lt;$AA$4;k19&gt;$AA$5)"</formula>
    </cfRule>
  </conditionalFormatting>
  <conditionalFormatting sqref="K259">
    <cfRule type="expression" priority="96" dxfId="144" stopIfTrue="1">
      <formula>OR(K259&lt;$AA$4,K259&gt;$AA$5)</formula>
    </cfRule>
    <cfRule type="expression" priority="97" dxfId="144" stopIfTrue="1">
      <formula>"ou(K19&lt;$AA$4;k19&gt;$AA$5)"</formula>
    </cfRule>
  </conditionalFormatting>
  <conditionalFormatting sqref="K274">
    <cfRule type="expression" priority="98" dxfId="144" stopIfTrue="1">
      <formula>OR(K274&lt;$AA$4,K274&gt;$AA$5)</formula>
    </cfRule>
    <cfRule type="expression" priority="99" dxfId="144" stopIfTrue="1">
      <formula>"ou(K19&lt;$AA$4;k19&gt;$AA$5)"</formula>
    </cfRule>
  </conditionalFormatting>
  <conditionalFormatting sqref="K289">
    <cfRule type="expression" priority="100" dxfId="144" stopIfTrue="1">
      <formula>OR(K289&lt;$AA$4,K289&gt;$AA$5)</formula>
    </cfRule>
    <cfRule type="expression" priority="101" dxfId="144" stopIfTrue="1">
      <formula>"ou(K19&lt;$AA$4;k19&gt;$AA$5)"</formula>
    </cfRule>
  </conditionalFormatting>
  <conditionalFormatting sqref="K304">
    <cfRule type="expression" priority="102" dxfId="144" stopIfTrue="1">
      <formula>OR(K304&lt;$AA$4,K304&gt;$AA$5)</formula>
    </cfRule>
    <cfRule type="expression" priority="103" dxfId="144" stopIfTrue="1">
      <formula>"ou(K19&lt;$AA$4;k19&gt;$AA$5)"</formula>
    </cfRule>
  </conditionalFormatting>
  <conditionalFormatting sqref="L19">
    <cfRule type="expression" priority="104" dxfId="144" stopIfTrue="1">
      <formula>OR(L19&lt;$AB$4,L19&gt;$AB$5)</formula>
    </cfRule>
  </conditionalFormatting>
  <conditionalFormatting sqref="L34">
    <cfRule type="expression" priority="105" dxfId="144" stopIfTrue="1">
      <formula>OR(L34&lt;$AB$4,L34&gt;$AB$5)</formula>
    </cfRule>
  </conditionalFormatting>
  <conditionalFormatting sqref="L49">
    <cfRule type="expression" priority="106" dxfId="144" stopIfTrue="1">
      <formula>OR(L49&lt;$AB$4,L49&gt;$AB$5)</formula>
    </cfRule>
  </conditionalFormatting>
  <conditionalFormatting sqref="L64">
    <cfRule type="expression" priority="107" dxfId="144" stopIfTrue="1">
      <formula>OR(L64&lt;$AB$4,L64&gt;$AB$5)</formula>
    </cfRule>
  </conditionalFormatting>
  <conditionalFormatting sqref="L79">
    <cfRule type="expression" priority="108" dxfId="144" stopIfTrue="1">
      <formula>OR(L79&lt;$AB$4,L79&gt;$AB$5)</formula>
    </cfRule>
  </conditionalFormatting>
  <conditionalFormatting sqref="L94">
    <cfRule type="expression" priority="109" dxfId="144" stopIfTrue="1">
      <formula>OR(L94&lt;$AB$4,L94&gt;$AB$5)</formula>
    </cfRule>
  </conditionalFormatting>
  <conditionalFormatting sqref="L109">
    <cfRule type="expression" priority="110" dxfId="144" stopIfTrue="1">
      <formula>OR(L109&lt;$AB$4,L109&gt;$AB$5)</formula>
    </cfRule>
  </conditionalFormatting>
  <conditionalFormatting sqref="L124">
    <cfRule type="expression" priority="111" dxfId="144" stopIfTrue="1">
      <formula>OR(L124&lt;$AB$4,L124&gt;$AB$5)</formula>
    </cfRule>
  </conditionalFormatting>
  <conditionalFormatting sqref="L139">
    <cfRule type="expression" priority="112" dxfId="144" stopIfTrue="1">
      <formula>OR(L139&lt;$AB$4,L139&gt;$AB$5)</formula>
    </cfRule>
  </conditionalFormatting>
  <conditionalFormatting sqref="L154">
    <cfRule type="expression" priority="113" dxfId="144" stopIfTrue="1">
      <formula>OR(L154&lt;$AB$4,L154&gt;$AB$5)</formula>
    </cfRule>
  </conditionalFormatting>
  <conditionalFormatting sqref="L169">
    <cfRule type="expression" priority="114" dxfId="144" stopIfTrue="1">
      <formula>OR(L169&lt;$AB$4,L169&gt;$AB$5)</formula>
    </cfRule>
  </conditionalFormatting>
  <conditionalFormatting sqref="L184">
    <cfRule type="expression" priority="115" dxfId="144" stopIfTrue="1">
      <formula>OR(L184&lt;$AB$4,L184&gt;$AB$5)</formula>
    </cfRule>
  </conditionalFormatting>
  <conditionalFormatting sqref="L199">
    <cfRule type="expression" priority="116" dxfId="144" stopIfTrue="1">
      <formula>OR(L199&lt;$AB$4,L199&gt;$AB$5)</formula>
    </cfRule>
  </conditionalFormatting>
  <conditionalFormatting sqref="L214">
    <cfRule type="expression" priority="117" dxfId="144" stopIfTrue="1">
      <formula>OR(L214&lt;$AB$4,L214&gt;$AB$5)</formula>
    </cfRule>
  </conditionalFormatting>
  <conditionalFormatting sqref="L229">
    <cfRule type="expression" priority="118" dxfId="144" stopIfTrue="1">
      <formula>OR(L229&lt;$AB$4,L229&gt;$AB$5)</formula>
    </cfRule>
  </conditionalFormatting>
  <conditionalFormatting sqref="L244">
    <cfRule type="expression" priority="119" dxfId="144" stopIfTrue="1">
      <formula>OR(L244&lt;$AB$4,L244&gt;$AB$5)</formula>
    </cfRule>
  </conditionalFormatting>
  <conditionalFormatting sqref="L259">
    <cfRule type="expression" priority="120" dxfId="144" stopIfTrue="1">
      <formula>OR(L259&lt;$AB$4,L259&gt;$AB$5)</formula>
    </cfRule>
  </conditionalFormatting>
  <conditionalFormatting sqref="L274">
    <cfRule type="expression" priority="121" dxfId="144" stopIfTrue="1">
      <formula>OR(L274&lt;$AB$4,L274&gt;$AB$5)</formula>
    </cfRule>
  </conditionalFormatting>
  <conditionalFormatting sqref="L289">
    <cfRule type="expression" priority="122" dxfId="144" stopIfTrue="1">
      <formula>OR(L289&lt;$AB$4,L289&gt;$AB$5)</formula>
    </cfRule>
  </conditionalFormatting>
  <conditionalFormatting sqref="L304">
    <cfRule type="expression" priority="123" dxfId="144" stopIfTrue="1">
      <formula>OR(L304&lt;$AB$4,L304&gt;$AB$5)</formula>
    </cfRule>
  </conditionalFormatting>
  <conditionalFormatting sqref="M19">
    <cfRule type="expression" priority="124" dxfId="144" stopIfTrue="1">
      <formula>OR(M19&lt;$AC$4,M19&gt;$AC$5)</formula>
    </cfRule>
  </conditionalFormatting>
  <conditionalFormatting sqref="M34">
    <cfRule type="expression" priority="125" dxfId="144" stopIfTrue="1">
      <formula>OR(M34&lt;$AC$4,M34&gt;$AC$5)</formula>
    </cfRule>
  </conditionalFormatting>
  <conditionalFormatting sqref="M49">
    <cfRule type="expression" priority="126" dxfId="144" stopIfTrue="1">
      <formula>OR(M49&lt;$AC$4,M49&gt;$AC$5)</formula>
    </cfRule>
  </conditionalFormatting>
  <conditionalFormatting sqref="M64">
    <cfRule type="expression" priority="127" dxfId="144" stopIfTrue="1">
      <formula>OR(M64&lt;$AC$4,M64&gt;$AC$5)</formula>
    </cfRule>
  </conditionalFormatting>
  <conditionalFormatting sqref="M79">
    <cfRule type="expression" priority="128" dxfId="144" stopIfTrue="1">
      <formula>OR(M79&lt;$AC$4,M79&gt;$AC$5)</formula>
    </cfRule>
  </conditionalFormatting>
  <conditionalFormatting sqref="M94">
    <cfRule type="expression" priority="129" dxfId="144" stopIfTrue="1">
      <formula>OR(M94&lt;$AC$4,M94&gt;$AC$5)</formula>
    </cfRule>
  </conditionalFormatting>
  <conditionalFormatting sqref="M109">
    <cfRule type="expression" priority="130" dxfId="144" stopIfTrue="1">
      <formula>OR(M109&lt;$AC$4,M109&gt;$AC$5)</formula>
    </cfRule>
  </conditionalFormatting>
  <conditionalFormatting sqref="M124">
    <cfRule type="expression" priority="131" dxfId="144" stopIfTrue="1">
      <formula>OR(M124&lt;$AC$4,M124&gt;$AC$5)</formula>
    </cfRule>
  </conditionalFormatting>
  <conditionalFormatting sqref="M139">
    <cfRule type="expression" priority="132" dxfId="144" stopIfTrue="1">
      <formula>OR(M139&lt;$AC$4,M139&gt;$AC$5)</formula>
    </cfRule>
  </conditionalFormatting>
  <conditionalFormatting sqref="M154">
    <cfRule type="expression" priority="133" dxfId="144" stopIfTrue="1">
      <formula>OR(M154&lt;$AC$4,M154&gt;$AC$5)</formula>
    </cfRule>
  </conditionalFormatting>
  <conditionalFormatting sqref="M169">
    <cfRule type="expression" priority="134" dxfId="144" stopIfTrue="1">
      <formula>OR(M169&lt;$AC$4,M169&gt;$AC$5)</formula>
    </cfRule>
  </conditionalFormatting>
  <conditionalFormatting sqref="M184">
    <cfRule type="expression" priority="135" dxfId="144" stopIfTrue="1">
      <formula>OR(M184&lt;$AC$4,M184&gt;$AC$5)</formula>
    </cfRule>
  </conditionalFormatting>
  <conditionalFormatting sqref="M199">
    <cfRule type="expression" priority="136" dxfId="144" stopIfTrue="1">
      <formula>OR(M199&lt;$AC$4,M199&gt;$AC$5)</formula>
    </cfRule>
  </conditionalFormatting>
  <conditionalFormatting sqref="M214">
    <cfRule type="expression" priority="137" dxfId="144" stopIfTrue="1">
      <formula>OR(M214&lt;$AC$4,M214&gt;$AC$5)</formula>
    </cfRule>
  </conditionalFormatting>
  <conditionalFormatting sqref="M229">
    <cfRule type="expression" priority="138" dxfId="144" stopIfTrue="1">
      <formula>OR(M229&lt;$AC$4,M229&gt;$AC$5)</formula>
    </cfRule>
  </conditionalFormatting>
  <conditionalFormatting sqref="M244">
    <cfRule type="expression" priority="139" dxfId="144" stopIfTrue="1">
      <formula>OR(M244&lt;$AC$4,M244&gt;$AC$5)</formula>
    </cfRule>
  </conditionalFormatting>
  <conditionalFormatting sqref="M259">
    <cfRule type="expression" priority="140" dxfId="144" stopIfTrue="1">
      <formula>OR(M259&lt;$AC$4,M259&gt;$AC$5)</formula>
    </cfRule>
  </conditionalFormatting>
  <conditionalFormatting sqref="M274">
    <cfRule type="expression" priority="141" dxfId="144" stopIfTrue="1">
      <formula>OR(M274&lt;$AC$4,M274&gt;$AC$5)</formula>
    </cfRule>
  </conditionalFormatting>
  <conditionalFormatting sqref="M289">
    <cfRule type="expression" priority="142" dxfId="144" stopIfTrue="1">
      <formula>OR(M289&lt;$AC$4,M289&gt;$AC$5)</formula>
    </cfRule>
  </conditionalFormatting>
  <conditionalFormatting sqref="M304">
    <cfRule type="expression" priority="143" dxfId="144" stopIfTrue="1">
      <formula>OR(M304&lt;$AC$4,M304&gt;$AC$5)</formula>
    </cfRule>
  </conditionalFormatting>
  <conditionalFormatting sqref="P11 P26 P41 P56 P71 P86 P101 P116 P131 P146 P161 P176 P191 P206 P221 P236 P251 P266 P281 P296">
    <cfRule type="expression" priority="144" dxfId="144" stopIfTrue="1">
      <formula>OR(P11&gt;$AE$4,P11&lt;$AE$5)</formula>
    </cfRule>
  </conditionalFormatting>
  <printOptions/>
  <pageMargins left="0.19652777777777777" right="0.19652777777777777" top="0.9840277777777777" bottom="0.6506944444444445" header="0.5118055555555555" footer="0.5118055555555555"/>
  <pageSetup horizontalDpi="300" verticalDpi="300" orientation="landscape" pageOrder="overThenDown" paperSize="77" scale="85"/>
  <headerFooter alignWithMargins="0">
    <oddFooter>&amp;C&amp;"Arial,Normal"&amp;10Página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C30"/>
  <sheetViews>
    <sheetView showGridLines="0" zoomScalePageLayoutView="0" workbookViewId="0" topLeftCell="A1">
      <selection activeCell="A2" sqref="A2"/>
    </sheetView>
  </sheetViews>
  <sheetFormatPr defaultColWidth="7.83984375" defaultRowHeight="23.25"/>
  <cols>
    <col min="1" max="1" width="22.69140625" style="1" customWidth="1"/>
    <col min="2" max="2" width="9.30859375" style="1" customWidth="1"/>
    <col min="3" max="3" width="8.69140625" style="1" customWidth="1"/>
    <col min="4" max="7" width="8.69140625" style="1" hidden="1" customWidth="1"/>
    <col min="8" max="8" width="5.1484375" style="1" customWidth="1"/>
    <col min="9" max="9" width="8.69140625" style="1" customWidth="1"/>
    <col min="10" max="10" width="9.1484375" style="1" customWidth="1"/>
    <col min="11" max="11" width="9.83984375" style="1" customWidth="1"/>
    <col min="12" max="14" width="6.30859375" style="1" customWidth="1"/>
    <col min="15" max="15" width="7.1484375" style="1" customWidth="1"/>
    <col min="16" max="17" width="8.1484375" style="1" customWidth="1"/>
    <col min="18" max="18" width="11.83984375" style="1" customWidth="1"/>
    <col min="19" max="22" width="7.69140625" style="2" customWidth="1"/>
    <col min="23" max="23" width="1.69140625" style="95" customWidth="1"/>
    <col min="24" max="24" width="8.1484375" style="2" hidden="1" customWidth="1"/>
    <col min="25" max="25" width="8.1484375" style="96" hidden="1" customWidth="1"/>
    <col min="26" max="26" width="9" style="1" hidden="1" customWidth="1"/>
    <col min="27" max="27" width="10.69140625" style="1" hidden="1" customWidth="1"/>
    <col min="28" max="28" width="7.83984375" style="1" hidden="1" customWidth="1"/>
    <col min="29" max="16384" width="7.83984375" style="1" customWidth="1"/>
  </cols>
  <sheetData>
    <row r="1" spans="1:27" ht="12" customHeight="1">
      <c r="A1" s="97" t="s">
        <v>0</v>
      </c>
      <c r="B1" s="33"/>
      <c r="C1" s="2"/>
      <c r="D1" s="2"/>
      <c r="E1" s="2"/>
      <c r="F1" s="2"/>
      <c r="G1" s="2"/>
      <c r="H1" s="2"/>
      <c r="I1" s="2"/>
      <c r="J1" s="98"/>
      <c r="K1" s="99"/>
      <c r="L1" s="99"/>
      <c r="M1" s="100"/>
      <c r="N1" s="2"/>
      <c r="O1" s="2"/>
      <c r="P1" s="101"/>
      <c r="Q1" s="101"/>
      <c r="R1" s="99"/>
      <c r="X1" s="312"/>
      <c r="Y1" s="312"/>
      <c r="Z1" s="312"/>
      <c r="AA1" s="312"/>
    </row>
    <row r="2" spans="1:27" ht="12" customHeight="1">
      <c r="A2" s="97" t="s">
        <v>2</v>
      </c>
      <c r="B2" s="33"/>
      <c r="C2" s="2"/>
      <c r="D2" s="2"/>
      <c r="E2" s="2"/>
      <c r="F2" s="2"/>
      <c r="G2" s="2"/>
      <c r="H2" s="2"/>
      <c r="I2" s="2"/>
      <c r="J2" s="98"/>
      <c r="K2" s="99"/>
      <c r="L2" s="99"/>
      <c r="M2" s="100"/>
      <c r="N2" s="2"/>
      <c r="O2" s="2"/>
      <c r="P2" s="2"/>
      <c r="Q2" s="2"/>
      <c r="R2" s="99"/>
      <c r="X2" s="313" t="s">
        <v>120</v>
      </c>
      <c r="Y2" s="313"/>
      <c r="Z2" s="313"/>
      <c r="AA2" s="313"/>
    </row>
    <row r="3" spans="1:27" ht="12" customHeight="1">
      <c r="A3" s="97" t="s">
        <v>3</v>
      </c>
      <c r="B3" s="33"/>
      <c r="C3" s="2"/>
      <c r="D3" s="2"/>
      <c r="E3" s="2"/>
      <c r="F3" s="2"/>
      <c r="G3" s="2"/>
      <c r="H3" s="2"/>
      <c r="I3" s="2"/>
      <c r="J3" s="98"/>
      <c r="K3" s="99"/>
      <c r="L3" s="99"/>
      <c r="M3" s="100"/>
      <c r="N3" s="2"/>
      <c r="O3" s="2"/>
      <c r="P3" s="2"/>
      <c r="Q3" s="2"/>
      <c r="R3" s="99"/>
      <c r="Y3" s="2"/>
      <c r="Z3"/>
      <c r="AA3"/>
    </row>
    <row r="4" spans="1:27" ht="16.5" customHeight="1">
      <c r="A4" s="102" t="s">
        <v>318</v>
      </c>
      <c r="B4" s="102"/>
      <c r="C4" s="103"/>
      <c r="D4" s="103"/>
      <c r="E4" s="103"/>
      <c r="F4" s="103"/>
      <c r="G4" s="103"/>
      <c r="H4" s="103"/>
      <c r="I4" s="103"/>
      <c r="J4" s="98"/>
      <c r="K4" s="104"/>
      <c r="L4" s="104"/>
      <c r="M4" s="105"/>
      <c r="N4" s="103"/>
      <c r="O4" s="103"/>
      <c r="P4" s="103"/>
      <c r="Q4" s="103"/>
      <c r="R4" s="104"/>
      <c r="Y4" s="2"/>
      <c r="Z4" s="314" t="s">
        <v>121</v>
      </c>
      <c r="AA4" s="314"/>
    </row>
    <row r="5" spans="1:27" ht="15.75">
      <c r="A5" s="2"/>
      <c r="B5" s="2"/>
      <c r="C5" s="2"/>
      <c r="D5" s="2"/>
      <c r="E5" s="2"/>
      <c r="F5" s="2"/>
      <c r="G5" s="2"/>
      <c r="H5" s="2"/>
      <c r="I5" s="2"/>
      <c r="J5" s="98"/>
      <c r="K5" s="99"/>
      <c r="L5" s="99"/>
      <c r="M5" s="100"/>
      <c r="N5" s="2"/>
      <c r="O5" s="2"/>
      <c r="P5" s="2"/>
      <c r="Q5" s="2"/>
      <c r="R5" s="99"/>
      <c r="X5"/>
      <c r="Y5" s="106"/>
      <c r="Z5" s="314"/>
      <c r="AA5" s="314"/>
    </row>
    <row r="6" spans="1:27" ht="12" customHeight="1">
      <c r="A6" s="107"/>
      <c r="B6" s="315" t="s">
        <v>122</v>
      </c>
      <c r="C6" s="315"/>
      <c r="D6" s="315"/>
      <c r="E6" s="315"/>
      <c r="F6" s="315"/>
      <c r="G6" s="315"/>
      <c r="H6" s="315"/>
      <c r="I6" s="316" t="s">
        <v>123</v>
      </c>
      <c r="J6" s="310" t="s">
        <v>124</v>
      </c>
      <c r="K6" s="310"/>
      <c r="L6" s="315" t="s">
        <v>125</v>
      </c>
      <c r="M6" s="315"/>
      <c r="N6" s="315"/>
      <c r="O6" s="315"/>
      <c r="P6" s="317" t="s">
        <v>126</v>
      </c>
      <c r="Q6" s="317"/>
      <c r="R6" s="318" t="s">
        <v>127</v>
      </c>
      <c r="S6" s="315" t="s">
        <v>128</v>
      </c>
      <c r="T6" s="315"/>
      <c r="U6" s="315"/>
      <c r="V6" s="315"/>
      <c r="W6" s="111"/>
      <c r="X6" s="309" t="s">
        <v>129</v>
      </c>
      <c r="Y6" s="309"/>
      <c r="Z6" s="310" t="s">
        <v>124</v>
      </c>
      <c r="AA6" s="310"/>
    </row>
    <row r="7" spans="1:27" ht="32.25" customHeight="1">
      <c r="A7" s="112" t="s">
        <v>130</v>
      </c>
      <c r="B7" s="108" t="s">
        <v>131</v>
      </c>
      <c r="C7" s="108" t="s">
        <v>132</v>
      </c>
      <c r="D7" s="108" t="s">
        <v>314</v>
      </c>
      <c r="E7" s="108" t="s">
        <v>315</v>
      </c>
      <c r="F7" s="108" t="s">
        <v>316</v>
      </c>
      <c r="G7" s="108" t="s">
        <v>317</v>
      </c>
      <c r="H7" s="108" t="s">
        <v>133</v>
      </c>
      <c r="I7" s="316"/>
      <c r="J7" s="110" t="s">
        <v>134</v>
      </c>
      <c r="K7" s="109" t="s">
        <v>135</v>
      </c>
      <c r="L7" s="113" t="s">
        <v>136</v>
      </c>
      <c r="M7" s="113" t="s">
        <v>137</v>
      </c>
      <c r="N7" s="113" t="s">
        <v>138</v>
      </c>
      <c r="O7" s="113" t="s">
        <v>139</v>
      </c>
      <c r="P7" s="113" t="s">
        <v>140</v>
      </c>
      <c r="Q7" s="113" t="s">
        <v>141</v>
      </c>
      <c r="R7" s="318" t="e">
        <f aca="true" t="shared" si="0" ref="R7:R27">ROUND(K7*L7*S7+K7*M7*T7+K7*N7*U7+K7*O7*V7,0)/1000</f>
        <v>#VALUE!</v>
      </c>
      <c r="S7" s="114" t="s">
        <v>142</v>
      </c>
      <c r="T7" s="114" t="s">
        <v>143</v>
      </c>
      <c r="U7" s="114" t="s">
        <v>138</v>
      </c>
      <c r="V7" s="114" t="s">
        <v>139</v>
      </c>
      <c r="W7" s="115"/>
      <c r="X7" s="311" t="s">
        <v>135</v>
      </c>
      <c r="Y7" s="311"/>
      <c r="Z7" s="110" t="s">
        <v>144</v>
      </c>
      <c r="AA7" s="109" t="s">
        <v>135</v>
      </c>
    </row>
    <row r="8" spans="1:29" s="132" customFormat="1" ht="15" customHeight="1">
      <c r="A8" s="116" t="s">
        <v>145</v>
      </c>
      <c r="B8" s="117">
        <f>Bovinos_e_Comerc!B11</f>
        <v>30690</v>
      </c>
      <c r="C8" s="118">
        <f>Bovinos_e_Comerc!C12+Bovinos_e_Comerc!D12</f>
        <v>20869.2</v>
      </c>
      <c r="D8" s="296">
        <f>Bovinos_e_Comerc!C12</f>
        <v>623</v>
      </c>
      <c r="E8" s="296">
        <f>Bovinos_e_Comerc!D12</f>
        <v>20246.2</v>
      </c>
      <c r="F8" s="296">
        <f>Bovinos_e_Comerc!E12</f>
        <v>0</v>
      </c>
      <c r="G8" s="296">
        <f>Bovinos_e_Comerc!F12</f>
        <v>9820.800000000001</v>
      </c>
      <c r="H8" s="119">
        <f>C8/B8</f>
        <v>0.68</v>
      </c>
      <c r="I8" s="120">
        <f>(Reb__Est__por_faixa_etária!L5+Reb__Est__por_faixa_etária!N5)</f>
        <v>13810</v>
      </c>
      <c r="J8" s="119">
        <v>0.5723</v>
      </c>
      <c r="K8" s="121">
        <f aca="true" t="shared" si="1" ref="K8:K27">(I8*J8)</f>
        <v>7903.463000000001</v>
      </c>
      <c r="L8" s="122">
        <f aca="true" t="shared" si="2" ref="L8:L28">X8/K8</f>
        <v>0.07882620567718227</v>
      </c>
      <c r="M8" s="122">
        <f aca="true" t="shared" si="3" ref="M8:M28">SUM(100%)-(L8+N8+O8)</f>
        <v>0.3711737943228177</v>
      </c>
      <c r="N8" s="123">
        <v>0.25</v>
      </c>
      <c r="O8" s="123">
        <v>0.30000000000000004</v>
      </c>
      <c r="P8" s="124">
        <f aca="true" t="shared" si="4" ref="P8:P28">R8/K8*1000</f>
        <v>3806.47862841896</v>
      </c>
      <c r="Q8" s="125">
        <f aca="true" t="shared" si="5" ref="Q8:Q28">R8/K8/305*1000</f>
        <v>12.48025779809495</v>
      </c>
      <c r="R8" s="126">
        <f t="shared" si="0"/>
        <v>30084.363</v>
      </c>
      <c r="S8" s="124">
        <v>7600</v>
      </c>
      <c r="T8" s="124">
        <v>4600</v>
      </c>
      <c r="U8" s="124">
        <v>3600</v>
      </c>
      <c r="V8" s="124">
        <v>2000</v>
      </c>
      <c r="W8" s="127"/>
      <c r="X8" s="128">
        <v>623</v>
      </c>
      <c r="Y8" s="129">
        <f aca="true" t="shared" si="6" ref="Y8:Y28">X8/B8</f>
        <v>0.020299771912675138</v>
      </c>
      <c r="Z8" s="130">
        <f aca="true" t="shared" si="7" ref="Z8:Z27">AA8/I8</f>
        <v>0.5723</v>
      </c>
      <c r="AA8" s="131">
        <v>7903.463000000001</v>
      </c>
      <c r="AC8" s="132">
        <f>K8/C8</f>
        <v>0.37871422958235107</v>
      </c>
    </row>
    <row r="9" spans="1:29" s="51" customFormat="1" ht="15" customHeight="1">
      <c r="A9" s="133" t="s">
        <v>146</v>
      </c>
      <c r="B9" s="117">
        <f>Bovinos_e_Comerc!B26</f>
        <v>13495</v>
      </c>
      <c r="C9" s="118">
        <f>Bovinos_e_Comerc!C27+Bovinos_e_Comerc!D27</f>
        <v>9311.55</v>
      </c>
      <c r="D9" s="296">
        <f>Bovinos_e_Comerc!C27</f>
        <v>80</v>
      </c>
      <c r="E9" s="296">
        <f>Bovinos_e_Comerc!D27</f>
        <v>9231.55</v>
      </c>
      <c r="F9" s="296">
        <f>Bovinos_e_Comerc!E27</f>
        <v>1821.825</v>
      </c>
      <c r="G9" s="296">
        <f>Bovinos_e_Comerc!F27</f>
        <v>2361.625</v>
      </c>
      <c r="H9" s="119">
        <f aca="true" t="shared" si="8" ref="H9:H28">C9/B9</f>
        <v>0.69</v>
      </c>
      <c r="I9" s="120">
        <f>(Reb__Est__por_faixa_etária!L6+Reb__Est__por_faixa_etária!N6)</f>
        <v>7775</v>
      </c>
      <c r="J9" s="134">
        <v>0.6305</v>
      </c>
      <c r="K9" s="121">
        <f t="shared" si="1"/>
        <v>4902.1375</v>
      </c>
      <c r="L9" s="122">
        <f t="shared" si="2"/>
        <v>0.01631941168520875</v>
      </c>
      <c r="M9" s="122">
        <f t="shared" si="3"/>
        <v>0.4836805883147912</v>
      </c>
      <c r="N9" s="122">
        <v>0.25</v>
      </c>
      <c r="O9" s="122">
        <v>0.25</v>
      </c>
      <c r="P9" s="124">
        <f t="shared" si="4"/>
        <v>3675.5900869773645</v>
      </c>
      <c r="Q9" s="125">
        <f t="shared" si="5"/>
        <v>12.051115039270048</v>
      </c>
      <c r="R9" s="126">
        <f t="shared" si="0"/>
        <v>18018.248</v>
      </c>
      <c r="S9" s="124">
        <v>7600</v>
      </c>
      <c r="T9" s="124">
        <v>4500</v>
      </c>
      <c r="U9" s="124">
        <v>3500</v>
      </c>
      <c r="V9" s="124">
        <v>2000</v>
      </c>
      <c r="W9" s="135"/>
      <c r="X9" s="128">
        <v>80</v>
      </c>
      <c r="Y9" s="136">
        <f t="shared" si="6"/>
        <v>0.005928121526491293</v>
      </c>
      <c r="Z9" s="130">
        <f t="shared" si="7"/>
        <v>0.6305</v>
      </c>
      <c r="AA9" s="137">
        <v>4902.1375</v>
      </c>
      <c r="AC9" s="132">
        <f aca="true" t="shared" si="9" ref="AC9:AC27">K9/C9</f>
        <v>0.5264577326009097</v>
      </c>
    </row>
    <row r="10" spans="1:29" s="51" customFormat="1" ht="15" customHeight="1">
      <c r="A10" s="133" t="s">
        <v>147</v>
      </c>
      <c r="B10" s="117">
        <f>Bovinos_e_Comerc!B41</f>
        <v>11674</v>
      </c>
      <c r="C10" s="118">
        <f>Bovinos_e_Comerc!C42+Bovinos_e_Comerc!D42</f>
        <v>7821.58</v>
      </c>
      <c r="D10" s="296">
        <f>Bovinos_e_Comerc!C42</f>
        <v>50</v>
      </c>
      <c r="E10" s="296">
        <f>Bovinos_e_Comerc!D42</f>
        <v>7771.58</v>
      </c>
      <c r="F10" s="296">
        <f>Bovinos_e_Comerc!E42</f>
        <v>0</v>
      </c>
      <c r="G10" s="296">
        <f>Bovinos_e_Comerc!F42</f>
        <v>3852.42</v>
      </c>
      <c r="H10" s="119">
        <f t="shared" si="8"/>
        <v>0.67</v>
      </c>
      <c r="I10" s="120">
        <f>(Reb__Est__por_faixa_etária!L7+Reb__Est__por_faixa_etária!N7)</f>
        <v>6563</v>
      </c>
      <c r="J10" s="134">
        <v>0.485</v>
      </c>
      <c r="K10" s="121">
        <f t="shared" si="1"/>
        <v>3183.055</v>
      </c>
      <c r="L10" s="122">
        <f t="shared" si="2"/>
        <v>0.01570817972042582</v>
      </c>
      <c r="M10" s="122">
        <f t="shared" si="3"/>
        <v>0.33429182027957416</v>
      </c>
      <c r="N10" s="122">
        <v>0.3</v>
      </c>
      <c r="O10" s="122">
        <v>0.3500000000000001</v>
      </c>
      <c r="P10" s="124">
        <f t="shared" si="4"/>
        <v>3437.1243977876607</v>
      </c>
      <c r="Q10" s="125">
        <f t="shared" si="5"/>
        <v>11.269260320615281</v>
      </c>
      <c r="R10" s="126">
        <f t="shared" si="0"/>
        <v>10940.556</v>
      </c>
      <c r="S10" s="124">
        <v>7600</v>
      </c>
      <c r="T10" s="124">
        <v>4600</v>
      </c>
      <c r="U10" s="124">
        <v>3600</v>
      </c>
      <c r="V10" s="124">
        <v>2000</v>
      </c>
      <c r="W10" s="135"/>
      <c r="X10" s="128">
        <v>50</v>
      </c>
      <c r="Y10" s="136">
        <f t="shared" si="6"/>
        <v>0.004283022100394038</v>
      </c>
      <c r="Z10" s="130">
        <f t="shared" si="7"/>
        <v>0.485</v>
      </c>
      <c r="AA10" s="137">
        <v>3183.055</v>
      </c>
      <c r="AC10" s="132">
        <f t="shared" si="9"/>
        <v>0.40695805706775356</v>
      </c>
    </row>
    <row r="11" spans="1:29" s="51" customFormat="1" ht="15" customHeight="1">
      <c r="A11" s="133" t="s">
        <v>148</v>
      </c>
      <c r="B11" s="117">
        <f>Bovinos_e_Comerc!B56</f>
        <v>17414</v>
      </c>
      <c r="C11" s="118">
        <f>Bovinos_e_Comerc!C57+Bovinos_e_Comerc!D57</f>
        <v>11493.239999999998</v>
      </c>
      <c r="D11" s="296">
        <f>Bovinos_e_Comerc!C57</f>
        <v>0</v>
      </c>
      <c r="E11" s="296">
        <f>Bovinos_e_Comerc!D57</f>
        <v>11493.239999999998</v>
      </c>
      <c r="F11" s="296">
        <f>Bovinos_e_Comerc!E57</f>
        <v>0</v>
      </c>
      <c r="G11" s="296">
        <f>Bovinos_e_Comerc!F57</f>
        <v>5920.76</v>
      </c>
      <c r="H11" s="119">
        <f t="shared" si="8"/>
        <v>0.6599999999999999</v>
      </c>
      <c r="I11" s="120">
        <f>(Reb__Est__por_faixa_etária!L8+Reb__Est__por_faixa_etária!N8)</f>
        <v>9220</v>
      </c>
      <c r="J11" s="134">
        <v>0.485</v>
      </c>
      <c r="K11" s="121">
        <f t="shared" si="1"/>
        <v>4471.7</v>
      </c>
      <c r="L11" s="122">
        <f t="shared" si="2"/>
        <v>0</v>
      </c>
      <c r="M11" s="122">
        <f t="shared" si="3"/>
        <v>0.49</v>
      </c>
      <c r="N11" s="122">
        <v>0.3</v>
      </c>
      <c r="O11" s="122">
        <v>0.20999999999999996</v>
      </c>
      <c r="P11" s="124">
        <f t="shared" si="4"/>
        <v>3754.0000447257194</v>
      </c>
      <c r="Q11" s="125">
        <f t="shared" si="5"/>
        <v>12.308196867953178</v>
      </c>
      <c r="R11" s="126">
        <f t="shared" si="0"/>
        <v>16786.762</v>
      </c>
      <c r="S11" s="124">
        <v>7600</v>
      </c>
      <c r="T11" s="124">
        <v>4600</v>
      </c>
      <c r="U11" s="124">
        <v>3600</v>
      </c>
      <c r="V11" s="124">
        <v>2000</v>
      </c>
      <c r="W11" s="135"/>
      <c r="X11" s="128">
        <v>0</v>
      </c>
      <c r="Y11" s="136">
        <f t="shared" si="6"/>
        <v>0</v>
      </c>
      <c r="Z11" s="130">
        <f t="shared" si="7"/>
        <v>0.485</v>
      </c>
      <c r="AA11" s="137">
        <v>4471.7</v>
      </c>
      <c r="AC11" s="132">
        <f t="shared" si="9"/>
        <v>0.3890721850409459</v>
      </c>
    </row>
    <row r="12" spans="1:29" s="51" customFormat="1" ht="15" customHeight="1">
      <c r="A12" s="133" t="s">
        <v>149</v>
      </c>
      <c r="B12" s="117">
        <f>Bovinos_e_Comerc!B71</f>
        <v>24646</v>
      </c>
      <c r="C12" s="118">
        <f>Bovinos_e_Comerc!C72+Bovinos_e_Comerc!D72</f>
        <v>22920.78</v>
      </c>
      <c r="D12" s="296">
        <f>Bovinos_e_Comerc!C72</f>
        <v>735</v>
      </c>
      <c r="E12" s="296">
        <f>Bovinos_e_Comerc!D72</f>
        <v>22185.78</v>
      </c>
      <c r="F12" s="296">
        <f>Bovinos_e_Comerc!E72</f>
        <v>0</v>
      </c>
      <c r="G12" s="296">
        <f>Bovinos_e_Comerc!F72</f>
        <v>1725.2200000000003</v>
      </c>
      <c r="H12" s="119">
        <f t="shared" si="8"/>
        <v>0.9299999999999999</v>
      </c>
      <c r="I12" s="120">
        <f>(Reb__Est__por_faixa_etária!L9+Reb__Est__por_faixa_etária!N9)</f>
        <v>13359</v>
      </c>
      <c r="J12" s="134">
        <v>0.8439</v>
      </c>
      <c r="K12" s="121">
        <f t="shared" si="1"/>
        <v>11273.6601</v>
      </c>
      <c r="L12" s="122">
        <f t="shared" si="2"/>
        <v>0.06519621786362</v>
      </c>
      <c r="M12" s="122">
        <f t="shared" si="3"/>
        <v>0.3848037821363799</v>
      </c>
      <c r="N12" s="122">
        <v>0.25</v>
      </c>
      <c r="O12" s="122">
        <v>0.30000000000000004</v>
      </c>
      <c r="P12" s="124">
        <f t="shared" si="4"/>
        <v>3765.5886928859954</v>
      </c>
      <c r="Q12" s="125">
        <f t="shared" si="5"/>
        <v>12.346192435691789</v>
      </c>
      <c r="R12" s="126">
        <f t="shared" si="0"/>
        <v>42451.967</v>
      </c>
      <c r="S12" s="124">
        <v>7600</v>
      </c>
      <c r="T12" s="124">
        <v>4600</v>
      </c>
      <c r="U12" s="124">
        <v>3600</v>
      </c>
      <c r="V12" s="124">
        <v>2000</v>
      </c>
      <c r="W12" s="135"/>
      <c r="X12" s="128">
        <v>735</v>
      </c>
      <c r="Y12" s="136">
        <f t="shared" si="6"/>
        <v>0.029822283534853528</v>
      </c>
      <c r="Z12" s="130">
        <f t="shared" si="7"/>
        <v>0.8439</v>
      </c>
      <c r="AA12" s="137">
        <v>11273.6601</v>
      </c>
      <c r="AC12" s="132">
        <f t="shared" si="9"/>
        <v>0.49185324844966005</v>
      </c>
    </row>
    <row r="13" spans="1:29" s="51" customFormat="1" ht="15" customHeight="1">
      <c r="A13" s="133" t="s">
        <v>150</v>
      </c>
      <c r="B13" s="117">
        <f>Bovinos_e_Comerc!B86</f>
        <v>21328</v>
      </c>
      <c r="C13" s="118">
        <f>Bovinos_e_Comerc!C87+Bovinos_e_Comerc!D87</f>
        <v>19408.48</v>
      </c>
      <c r="D13" s="296">
        <f>Bovinos_e_Comerc!C87</f>
        <v>1060</v>
      </c>
      <c r="E13" s="296">
        <f>Bovinos_e_Comerc!D87</f>
        <v>18348.48</v>
      </c>
      <c r="F13" s="296">
        <f>Bovinos_e_Comerc!E87</f>
        <v>0</v>
      </c>
      <c r="G13" s="296">
        <f>Bovinos_e_Comerc!F87</f>
        <v>1919.52</v>
      </c>
      <c r="H13" s="119">
        <f t="shared" si="8"/>
        <v>0.91</v>
      </c>
      <c r="I13" s="120">
        <f>(Reb__Est__por_faixa_etária!L10+Reb__Est__por_faixa_etária!N10)</f>
        <v>11859</v>
      </c>
      <c r="J13" s="134">
        <v>0.7479999999999999</v>
      </c>
      <c r="K13" s="121">
        <f t="shared" si="1"/>
        <v>8870.532</v>
      </c>
      <c r="L13" s="122">
        <f t="shared" si="2"/>
        <v>0.11949677877268242</v>
      </c>
      <c r="M13" s="122">
        <f t="shared" si="3"/>
        <v>0.4805032212273176</v>
      </c>
      <c r="N13" s="122">
        <v>0.2</v>
      </c>
      <c r="O13" s="122">
        <v>0.19999999999999996</v>
      </c>
      <c r="P13" s="124">
        <f t="shared" si="4"/>
        <v>4238.4903182807975</v>
      </c>
      <c r="Q13" s="125">
        <f t="shared" si="5"/>
        <v>13.896689568133763</v>
      </c>
      <c r="R13" s="126">
        <f t="shared" si="0"/>
        <v>37597.664</v>
      </c>
      <c r="S13" s="124">
        <v>7600</v>
      </c>
      <c r="T13" s="124">
        <v>4600</v>
      </c>
      <c r="U13" s="124">
        <v>3600</v>
      </c>
      <c r="V13" s="124">
        <v>2000</v>
      </c>
      <c r="W13" s="135"/>
      <c r="X13" s="128">
        <v>1060</v>
      </c>
      <c r="Y13" s="136">
        <f t="shared" si="6"/>
        <v>0.049699924981245314</v>
      </c>
      <c r="Z13" s="130">
        <f t="shared" si="7"/>
        <v>0.7479999999999999</v>
      </c>
      <c r="AA13" s="137">
        <v>8870.532</v>
      </c>
      <c r="AC13" s="132">
        <f t="shared" si="9"/>
        <v>0.45704413740797833</v>
      </c>
    </row>
    <row r="14" spans="1:29" s="51" customFormat="1" ht="15" customHeight="1">
      <c r="A14" s="133" t="s">
        <v>151</v>
      </c>
      <c r="B14" s="117">
        <f>Bovinos_e_Comerc!B101</f>
        <v>14390</v>
      </c>
      <c r="C14" s="118">
        <f>Bovinos_e_Comerc!C102+Bovinos_e_Comerc!D102</f>
        <v>11655.9</v>
      </c>
      <c r="D14" s="296">
        <f>Bovinos_e_Comerc!C102</f>
        <v>680</v>
      </c>
      <c r="E14" s="296">
        <f>Bovinos_e_Comerc!D102</f>
        <v>10975.9</v>
      </c>
      <c r="F14" s="296">
        <f>Bovinos_e_Comerc!E102</f>
        <v>0</v>
      </c>
      <c r="G14" s="296">
        <f>Bovinos_e_Comerc!F102</f>
        <v>2734.1</v>
      </c>
      <c r="H14" s="119">
        <f t="shared" si="8"/>
        <v>0.8099999999999999</v>
      </c>
      <c r="I14" s="120">
        <f>(Reb__Est__por_faixa_etária!L11+Reb__Est__por_faixa_etária!N11)</f>
        <v>7902</v>
      </c>
      <c r="J14" s="134">
        <v>0.6844712000000001</v>
      </c>
      <c r="K14" s="121">
        <f t="shared" si="1"/>
        <v>5408.6914224</v>
      </c>
      <c r="L14" s="122">
        <f t="shared" si="2"/>
        <v>0.12572357098868536</v>
      </c>
      <c r="M14" s="122">
        <f t="shared" si="3"/>
        <v>0.27427642901131466</v>
      </c>
      <c r="N14" s="122">
        <v>0.3</v>
      </c>
      <c r="O14" s="122">
        <v>0.30000000000000004</v>
      </c>
      <c r="P14" s="124">
        <f t="shared" si="4"/>
        <v>3839.742994763901</v>
      </c>
      <c r="Q14" s="125">
        <f t="shared" si="5"/>
        <v>12.589321294307874</v>
      </c>
      <c r="R14" s="126">
        <f t="shared" si="0"/>
        <v>20767.985</v>
      </c>
      <c r="S14" s="124">
        <v>7600</v>
      </c>
      <c r="T14" s="124">
        <v>4500</v>
      </c>
      <c r="U14" s="124">
        <v>3500</v>
      </c>
      <c r="V14" s="124">
        <v>2000</v>
      </c>
      <c r="W14" s="135"/>
      <c r="X14" s="128">
        <v>680</v>
      </c>
      <c r="Y14" s="136">
        <f t="shared" si="6"/>
        <v>0.0472550382209868</v>
      </c>
      <c r="Z14" s="130">
        <f t="shared" si="7"/>
        <v>0.6844712000000001</v>
      </c>
      <c r="AA14" s="137">
        <v>5408.6914224</v>
      </c>
      <c r="AC14" s="132">
        <f t="shared" si="9"/>
        <v>0.46403035564821254</v>
      </c>
    </row>
    <row r="15" spans="1:29" s="51" customFormat="1" ht="15" customHeight="1">
      <c r="A15" s="133" t="s">
        <v>152</v>
      </c>
      <c r="B15" s="117">
        <f>Bovinos_e_Comerc!B116</f>
        <v>43490</v>
      </c>
      <c r="C15" s="118">
        <f>Bovinos_e_Comerc!C117+Bovinos_e_Comerc!D117</f>
        <v>38271.2</v>
      </c>
      <c r="D15" s="296">
        <f>Bovinos_e_Comerc!C117</f>
        <v>4608</v>
      </c>
      <c r="E15" s="296">
        <f>Bovinos_e_Comerc!D117</f>
        <v>33663.2</v>
      </c>
      <c r="F15" s="296">
        <f>Bovinos_e_Comerc!E117</f>
        <v>1739.6000000000001</v>
      </c>
      <c r="G15" s="296">
        <f>Bovinos_e_Comerc!F117</f>
        <v>3479.2000000000003</v>
      </c>
      <c r="H15" s="119">
        <f t="shared" si="8"/>
        <v>0.8799999999999999</v>
      </c>
      <c r="I15" s="120">
        <f>(Reb__Est__por_faixa_etária!L12+Reb__Est__por_faixa_etária!N12)</f>
        <v>24289</v>
      </c>
      <c r="J15" s="134">
        <v>0.8083999999999999</v>
      </c>
      <c r="K15" s="121">
        <f t="shared" si="1"/>
        <v>19635.2276</v>
      </c>
      <c r="L15" s="122">
        <f t="shared" si="2"/>
        <v>0.2346802437879559</v>
      </c>
      <c r="M15" s="122">
        <f t="shared" si="3"/>
        <v>0.3053197562120441</v>
      </c>
      <c r="N15" s="123">
        <v>0.28</v>
      </c>
      <c r="O15" s="123">
        <v>0.17999999999999994</v>
      </c>
      <c r="P15" s="124">
        <f t="shared" si="4"/>
        <v>4556.040745868411</v>
      </c>
      <c r="Q15" s="125">
        <f t="shared" si="5"/>
        <v>14.937838511043969</v>
      </c>
      <c r="R15" s="126">
        <f t="shared" si="0"/>
        <v>89458.897</v>
      </c>
      <c r="S15" s="124">
        <v>7600</v>
      </c>
      <c r="T15" s="124">
        <v>4600</v>
      </c>
      <c r="U15" s="124">
        <v>3600</v>
      </c>
      <c r="V15" s="124">
        <v>2000</v>
      </c>
      <c r="W15" s="135"/>
      <c r="X15" s="128">
        <v>4608</v>
      </c>
      <c r="Y15" s="136">
        <f t="shared" si="6"/>
        <v>0.10595539204414808</v>
      </c>
      <c r="Z15" s="130">
        <f t="shared" si="7"/>
        <v>0.8083999999999999</v>
      </c>
      <c r="AA15" s="137">
        <v>19635.2276</v>
      </c>
      <c r="AC15" s="132">
        <f t="shared" si="9"/>
        <v>0.5130549238069357</v>
      </c>
    </row>
    <row r="16" spans="1:29" s="51" customFormat="1" ht="15" customHeight="1">
      <c r="A16" s="133" t="s">
        <v>153</v>
      </c>
      <c r="B16" s="117">
        <f>Bovinos_e_Comerc!B131</f>
        <v>22065</v>
      </c>
      <c r="C16" s="118">
        <f>Bovinos_e_Comerc!C132+Bovinos_e_Comerc!D132</f>
        <v>11694.45</v>
      </c>
      <c r="D16" s="296">
        <f>Bovinos_e_Comerc!C132</f>
        <v>179</v>
      </c>
      <c r="E16" s="296">
        <f>Bovinos_e_Comerc!D132</f>
        <v>11515.45</v>
      </c>
      <c r="F16" s="296">
        <f>Bovinos_e_Comerc!E132</f>
        <v>0</v>
      </c>
      <c r="G16" s="296">
        <f>Bovinos_e_Comerc!F132</f>
        <v>10370.55</v>
      </c>
      <c r="H16" s="119">
        <f t="shared" si="8"/>
        <v>0.53</v>
      </c>
      <c r="I16" s="120">
        <f>(Reb__Est__por_faixa_etária!L13+Reb__Est__por_faixa_etária!N13)</f>
        <v>12963</v>
      </c>
      <c r="J16" s="134">
        <v>0.3526</v>
      </c>
      <c r="K16" s="121">
        <f t="shared" si="1"/>
        <v>4570.7538</v>
      </c>
      <c r="L16" s="122">
        <f t="shared" si="2"/>
        <v>0.03916203056047341</v>
      </c>
      <c r="M16" s="122">
        <f t="shared" si="3"/>
        <v>0.3108379694395266</v>
      </c>
      <c r="N16" s="122">
        <v>0.35</v>
      </c>
      <c r="O16" s="122">
        <v>0.30000000000000004</v>
      </c>
      <c r="P16" s="124">
        <f t="shared" si="4"/>
        <v>3461.4023621224137</v>
      </c>
      <c r="Q16" s="125">
        <f t="shared" si="5"/>
        <v>11.348860203680045</v>
      </c>
      <c r="R16" s="126">
        <f t="shared" si="0"/>
        <v>15821.218</v>
      </c>
      <c r="S16" s="124">
        <v>7600</v>
      </c>
      <c r="T16" s="124">
        <v>4500</v>
      </c>
      <c r="U16" s="124">
        <v>3500</v>
      </c>
      <c r="V16" s="124">
        <v>1800</v>
      </c>
      <c r="W16" s="135"/>
      <c r="X16" s="128">
        <v>179</v>
      </c>
      <c r="Y16" s="136">
        <f t="shared" si="6"/>
        <v>0.008112395196011783</v>
      </c>
      <c r="Z16" s="130">
        <f t="shared" si="7"/>
        <v>0.3526</v>
      </c>
      <c r="AA16" s="137">
        <v>4570.7538</v>
      </c>
      <c r="AC16" s="132">
        <f t="shared" si="9"/>
        <v>0.39084812026217564</v>
      </c>
    </row>
    <row r="17" spans="1:29" s="51" customFormat="1" ht="15" customHeight="1">
      <c r="A17" s="133" t="s">
        <v>154</v>
      </c>
      <c r="B17" s="117">
        <f>Bovinos_e_Comerc!B146</f>
        <v>18733</v>
      </c>
      <c r="C17" s="118">
        <f>Bovinos_e_Comerc!C147+Bovinos_e_Comerc!D147</f>
        <v>16110.380000000001</v>
      </c>
      <c r="D17" s="296">
        <f>Bovinos_e_Comerc!C147</f>
        <v>2050</v>
      </c>
      <c r="E17" s="296">
        <f>Bovinos_e_Comerc!D147</f>
        <v>14060.380000000001</v>
      </c>
      <c r="F17" s="296">
        <f>Bovinos_e_Comerc!E147</f>
        <v>674.388</v>
      </c>
      <c r="G17" s="296">
        <f>Bovinos_e_Comerc!F147</f>
        <v>1948.2320000000002</v>
      </c>
      <c r="H17" s="119">
        <f t="shared" si="8"/>
        <v>0.8600000000000001</v>
      </c>
      <c r="I17" s="120">
        <f>(Reb__Est__por_faixa_etária!L14+Reb__Est__por_faixa_etária!N14)</f>
        <v>11270</v>
      </c>
      <c r="J17" s="134">
        <v>0.9020999999999999</v>
      </c>
      <c r="K17" s="121">
        <f t="shared" si="1"/>
        <v>10166.667</v>
      </c>
      <c r="L17" s="122">
        <f t="shared" si="2"/>
        <v>0.20163933765116926</v>
      </c>
      <c r="M17" s="122">
        <f t="shared" si="3"/>
        <v>0.3483606623488308</v>
      </c>
      <c r="N17" s="122">
        <v>0.25</v>
      </c>
      <c r="O17" s="122">
        <v>0.19999999999999996</v>
      </c>
      <c r="P17" s="124">
        <f t="shared" si="4"/>
        <v>4434.918051314163</v>
      </c>
      <c r="Q17" s="125">
        <f t="shared" si="5"/>
        <v>14.540714922341515</v>
      </c>
      <c r="R17" s="126">
        <f t="shared" si="0"/>
        <v>45088.335</v>
      </c>
      <c r="S17" s="124">
        <v>7600</v>
      </c>
      <c r="T17" s="124">
        <v>4600</v>
      </c>
      <c r="U17" s="124">
        <v>3600</v>
      </c>
      <c r="V17" s="124">
        <v>2000</v>
      </c>
      <c r="W17" s="135"/>
      <c r="X17" s="128">
        <v>2050</v>
      </c>
      <c r="Y17" s="136">
        <f t="shared" si="6"/>
        <v>0.10943255218064378</v>
      </c>
      <c r="Z17" s="130">
        <f t="shared" si="7"/>
        <v>0.9020999999999999</v>
      </c>
      <c r="AA17" s="137">
        <v>10166.667</v>
      </c>
      <c r="AC17" s="132">
        <f t="shared" si="9"/>
        <v>0.6310631406583829</v>
      </c>
    </row>
    <row r="18" spans="1:29" s="51" customFormat="1" ht="15" customHeight="1">
      <c r="A18" s="133" t="s">
        <v>155</v>
      </c>
      <c r="B18" s="117">
        <f>Bovinos_e_Comerc!B161</f>
        <v>9332</v>
      </c>
      <c r="C18" s="118">
        <f>Bovinos_e_Comerc!C162+Bovinos_e_Comerc!D162</f>
        <v>8305.480000000001</v>
      </c>
      <c r="D18" s="296">
        <f>Bovinos_e_Comerc!C162</f>
        <v>391.00000000000006</v>
      </c>
      <c r="E18" s="296">
        <f>Bovinos_e_Comerc!D162</f>
        <v>7914.4800000000005</v>
      </c>
      <c r="F18" s="296">
        <f>Bovinos_e_Comerc!E162</f>
        <v>0</v>
      </c>
      <c r="G18" s="296">
        <f>Bovinos_e_Comerc!F162</f>
        <v>1026.52</v>
      </c>
      <c r="H18" s="119">
        <f t="shared" si="8"/>
        <v>0.8900000000000001</v>
      </c>
      <c r="I18" s="120">
        <f>(Reb__Est__por_faixa_etária!L15+Reb__Est__por_faixa_etária!N15)</f>
        <v>5144</v>
      </c>
      <c r="J18" s="134">
        <v>0.7759999999999999</v>
      </c>
      <c r="K18" s="121">
        <f t="shared" si="1"/>
        <v>3991.7439999999997</v>
      </c>
      <c r="L18" s="122">
        <f t="shared" si="2"/>
        <v>0.09795217328566161</v>
      </c>
      <c r="M18" s="122">
        <f t="shared" si="3"/>
        <v>0.4020478267143385</v>
      </c>
      <c r="N18" s="122">
        <v>0.3</v>
      </c>
      <c r="O18" s="122">
        <v>0.19999999999999996</v>
      </c>
      <c r="P18" s="124">
        <f t="shared" si="4"/>
        <v>4043.856519856985</v>
      </c>
      <c r="Q18" s="125">
        <f t="shared" si="5"/>
        <v>13.258545966744213</v>
      </c>
      <c r="R18" s="126">
        <f t="shared" si="0"/>
        <v>16142.04</v>
      </c>
      <c r="S18" s="124">
        <v>7600</v>
      </c>
      <c r="T18" s="124">
        <v>4600</v>
      </c>
      <c r="U18" s="124">
        <v>3500</v>
      </c>
      <c r="V18" s="124">
        <v>2000</v>
      </c>
      <c r="W18" s="135"/>
      <c r="X18" s="128">
        <v>391</v>
      </c>
      <c r="Y18" s="136">
        <f t="shared" si="6"/>
        <v>0.04189884269181312</v>
      </c>
      <c r="Z18" s="130">
        <f t="shared" si="7"/>
        <v>0.7759999999999999</v>
      </c>
      <c r="AA18" s="137">
        <v>3991.7439999999997</v>
      </c>
      <c r="AC18" s="132">
        <f t="shared" si="9"/>
        <v>0.48061568988186104</v>
      </c>
    </row>
    <row r="19" spans="1:29" s="51" customFormat="1" ht="15" customHeight="1">
      <c r="A19" s="133" t="s">
        <v>156</v>
      </c>
      <c r="B19" s="117">
        <f>Bovinos_e_Comerc!B176</f>
        <v>11872</v>
      </c>
      <c r="C19" s="118">
        <f>Bovinos_e_Comerc!C177+Bovinos_e_Comerc!D177</f>
        <v>7716.8</v>
      </c>
      <c r="D19" s="296">
        <f>Bovinos_e_Comerc!C177</f>
        <v>210</v>
      </c>
      <c r="E19" s="296">
        <f>Bovinos_e_Comerc!D177</f>
        <v>7506.8</v>
      </c>
      <c r="F19" s="296">
        <f>Bovinos_e_Comerc!E177</f>
        <v>474.88</v>
      </c>
      <c r="G19" s="296">
        <f>Bovinos_e_Comerc!F177</f>
        <v>3680.32</v>
      </c>
      <c r="H19" s="119">
        <f t="shared" si="8"/>
        <v>0.65</v>
      </c>
      <c r="I19" s="120">
        <f>(Reb__Est__por_faixa_etária!L16+Reb__Est__por_faixa_etária!N16)</f>
        <v>5687</v>
      </c>
      <c r="J19" s="134">
        <v>0.4947</v>
      </c>
      <c r="K19" s="121">
        <f t="shared" si="1"/>
        <v>2813.3588999999997</v>
      </c>
      <c r="L19" s="122">
        <f t="shared" si="2"/>
        <v>0.07464387142358553</v>
      </c>
      <c r="M19" s="122">
        <f t="shared" si="3"/>
        <v>0.3753561285764144</v>
      </c>
      <c r="N19" s="122">
        <v>0.2</v>
      </c>
      <c r="O19" s="122">
        <v>0.35</v>
      </c>
      <c r="P19" s="124">
        <f t="shared" si="4"/>
        <v>3676.395855502119</v>
      </c>
      <c r="Q19" s="125">
        <f t="shared" si="5"/>
        <v>12.053756903285636</v>
      </c>
      <c r="R19" s="126">
        <f t="shared" si="0"/>
        <v>10343.021</v>
      </c>
      <c r="S19" s="124">
        <v>7600</v>
      </c>
      <c r="T19" s="124">
        <v>4500</v>
      </c>
      <c r="U19" s="124">
        <v>3600</v>
      </c>
      <c r="V19" s="124">
        <v>2000</v>
      </c>
      <c r="W19" s="135"/>
      <c r="X19" s="128">
        <v>210</v>
      </c>
      <c r="Y19" s="136">
        <f t="shared" si="6"/>
        <v>0.01768867924528302</v>
      </c>
      <c r="Z19" s="130">
        <f t="shared" si="7"/>
        <v>0.4947</v>
      </c>
      <c r="AA19" s="137">
        <v>2813.3588999999997</v>
      </c>
      <c r="AC19" s="132">
        <f t="shared" si="9"/>
        <v>0.36457584750155503</v>
      </c>
    </row>
    <row r="20" spans="1:29" s="51" customFormat="1" ht="15" customHeight="1">
      <c r="A20" s="133" t="s">
        <v>157</v>
      </c>
      <c r="B20" s="117">
        <f>Bovinos_e_Comerc!B191</f>
        <v>26185</v>
      </c>
      <c r="C20" s="118">
        <f>Bovinos_e_Comerc!C192+Bovinos_e_Comerc!D192</f>
        <v>21995.4</v>
      </c>
      <c r="D20" s="296">
        <f>Bovinos_e_Comerc!C192</f>
        <v>508</v>
      </c>
      <c r="E20" s="296">
        <f>Bovinos_e_Comerc!D192</f>
        <v>21487.4</v>
      </c>
      <c r="F20" s="296">
        <f>Bovinos_e_Comerc!E192</f>
        <v>261.85</v>
      </c>
      <c r="G20" s="296">
        <f>Bovinos_e_Comerc!F192</f>
        <v>3927.75</v>
      </c>
      <c r="H20" s="119">
        <f t="shared" si="8"/>
        <v>0.8400000000000001</v>
      </c>
      <c r="I20" s="120">
        <f>(Reb__Est__por_faixa_etária!L17+Reb__Est__por_faixa_etária!N17)</f>
        <v>14868</v>
      </c>
      <c r="J20" s="134">
        <v>0.7743502009040684</v>
      </c>
      <c r="K20" s="121">
        <f t="shared" si="1"/>
        <v>11513.038787041689</v>
      </c>
      <c r="L20" s="122">
        <f t="shared" si="2"/>
        <v>0.04412388504864337</v>
      </c>
      <c r="M20" s="122">
        <f t="shared" si="3"/>
        <v>0.4558761149513566</v>
      </c>
      <c r="N20" s="122">
        <v>0.28</v>
      </c>
      <c r="O20" s="122">
        <v>0.21999999999999997</v>
      </c>
      <c r="P20" s="124">
        <f t="shared" si="4"/>
        <v>3880.3716226755932</v>
      </c>
      <c r="Q20" s="125">
        <f t="shared" si="5"/>
        <v>12.722529910411781</v>
      </c>
      <c r="R20" s="126">
        <f t="shared" si="0"/>
        <v>44674.869</v>
      </c>
      <c r="S20" s="124">
        <v>7600</v>
      </c>
      <c r="T20" s="124">
        <v>4600</v>
      </c>
      <c r="U20" s="124">
        <v>3600</v>
      </c>
      <c r="V20" s="124">
        <v>2000</v>
      </c>
      <c r="W20" s="135"/>
      <c r="X20" s="128">
        <v>508</v>
      </c>
      <c r="Y20" s="136">
        <f t="shared" si="6"/>
        <v>0.01940042008783655</v>
      </c>
      <c r="Z20" s="130">
        <f t="shared" si="7"/>
        <v>0.7743502009040684</v>
      </c>
      <c r="AA20" s="137">
        <v>11513.038787041689</v>
      </c>
      <c r="AC20" s="132">
        <f t="shared" si="9"/>
        <v>0.5234293891923624</v>
      </c>
    </row>
    <row r="21" spans="1:29" s="51" customFormat="1" ht="15" customHeight="1">
      <c r="A21" s="133" t="s">
        <v>158</v>
      </c>
      <c r="B21" s="117">
        <f>Bovinos_e_Comerc!B206</f>
        <v>5160</v>
      </c>
      <c r="C21" s="118">
        <f>Bovinos_e_Comerc!C207+Bovinos_e_Comerc!D207</f>
        <v>4540.799999999999</v>
      </c>
      <c r="D21" s="296">
        <f>Bovinos_e_Comerc!C207</f>
        <v>116</v>
      </c>
      <c r="E21" s="296">
        <f>Bovinos_e_Comerc!D207</f>
        <v>4424.799999999999</v>
      </c>
      <c r="F21" s="296">
        <f>Bovinos_e_Comerc!E207</f>
        <v>0</v>
      </c>
      <c r="G21" s="296">
        <f>Bovinos_e_Comerc!F207</f>
        <v>619.1999999999999</v>
      </c>
      <c r="H21" s="119">
        <f t="shared" si="8"/>
        <v>0.8799999999999999</v>
      </c>
      <c r="I21" s="120">
        <f>(Reb__Est__por_faixa_etária!L18+Reb__Est__por_faixa_etária!N18)</f>
        <v>2848</v>
      </c>
      <c r="J21" s="134">
        <v>0.7372</v>
      </c>
      <c r="K21" s="121">
        <f t="shared" si="1"/>
        <v>2099.5456</v>
      </c>
      <c r="L21" s="122">
        <f t="shared" si="2"/>
        <v>0.05525005029659751</v>
      </c>
      <c r="M21" s="122">
        <f t="shared" si="3"/>
        <v>0.4447499497034024</v>
      </c>
      <c r="N21" s="122">
        <v>0.25</v>
      </c>
      <c r="O21" s="122">
        <v>0.25</v>
      </c>
      <c r="P21" s="124">
        <f t="shared" si="4"/>
        <v>3865.750284251983</v>
      </c>
      <c r="Q21" s="125">
        <f t="shared" si="5"/>
        <v>12.674591095908141</v>
      </c>
      <c r="R21" s="126">
        <f t="shared" si="0"/>
        <v>8116.319</v>
      </c>
      <c r="S21" s="124">
        <v>7600</v>
      </c>
      <c r="T21" s="124">
        <v>4600</v>
      </c>
      <c r="U21" s="124">
        <v>3600</v>
      </c>
      <c r="V21" s="124">
        <v>2000</v>
      </c>
      <c r="W21" s="135"/>
      <c r="X21" s="128">
        <v>116</v>
      </c>
      <c r="Y21" s="136">
        <f t="shared" si="6"/>
        <v>0.02248062015503876</v>
      </c>
      <c r="Z21" s="130">
        <f t="shared" si="7"/>
        <v>0.7372</v>
      </c>
      <c r="AA21" s="137">
        <v>2099.5456</v>
      </c>
      <c r="AC21" s="132">
        <f t="shared" si="9"/>
        <v>0.46237350246652575</v>
      </c>
    </row>
    <row r="22" spans="1:29" s="51" customFormat="1" ht="15" customHeight="1">
      <c r="A22" s="133" t="s">
        <v>159</v>
      </c>
      <c r="B22" s="117">
        <f>Bovinos_e_Comerc!B221</f>
        <v>23018</v>
      </c>
      <c r="C22" s="118">
        <f>Bovinos_e_Comerc!C222+Bovinos_e_Comerc!D222</f>
        <v>15882.42</v>
      </c>
      <c r="D22" s="296">
        <f>Bovinos_e_Comerc!C222</f>
        <v>485</v>
      </c>
      <c r="E22" s="296">
        <f>Bovinos_e_Comerc!D222</f>
        <v>15397.42</v>
      </c>
      <c r="F22" s="296">
        <f>Bovinos_e_Comerc!E222</f>
        <v>759.594</v>
      </c>
      <c r="G22" s="296">
        <f>Bovinos_e_Comerc!F222</f>
        <v>6375.986000000001</v>
      </c>
      <c r="H22" s="119">
        <f t="shared" si="8"/>
        <v>0.6900000000000001</v>
      </c>
      <c r="I22" s="120">
        <f>(Reb__Est__por_faixa_etária!L19+Reb__Est__por_faixa_etária!N19)</f>
        <v>11106</v>
      </c>
      <c r="J22" s="134">
        <v>0.5984900000000001</v>
      </c>
      <c r="K22" s="121">
        <f t="shared" si="1"/>
        <v>6646.8299400000005</v>
      </c>
      <c r="L22" s="122">
        <f t="shared" si="2"/>
        <v>0.0729671143053195</v>
      </c>
      <c r="M22" s="122">
        <f t="shared" si="3"/>
        <v>0.4570328856946805</v>
      </c>
      <c r="N22" s="122">
        <v>0.2</v>
      </c>
      <c r="O22" s="122">
        <v>0.27</v>
      </c>
      <c r="P22" s="124">
        <f t="shared" si="4"/>
        <v>3916.901325145081</v>
      </c>
      <c r="Q22" s="125">
        <f t="shared" si="5"/>
        <v>12.842299426705184</v>
      </c>
      <c r="R22" s="126">
        <f t="shared" si="0"/>
        <v>26034.977</v>
      </c>
      <c r="S22" s="124">
        <v>7600</v>
      </c>
      <c r="T22" s="124">
        <v>4600</v>
      </c>
      <c r="U22" s="124">
        <v>3600</v>
      </c>
      <c r="V22" s="124">
        <v>2000</v>
      </c>
      <c r="W22" s="135"/>
      <c r="X22" s="128">
        <v>485</v>
      </c>
      <c r="Y22" s="136">
        <f t="shared" si="6"/>
        <v>0.02107046659136328</v>
      </c>
      <c r="Z22" s="130">
        <f t="shared" si="7"/>
        <v>0.5984900000000001</v>
      </c>
      <c r="AA22" s="137">
        <v>6646.8299400000005</v>
      </c>
      <c r="AC22" s="132">
        <f t="shared" si="9"/>
        <v>0.418502340323452</v>
      </c>
    </row>
    <row r="23" spans="1:29" s="51" customFormat="1" ht="15" customHeight="1">
      <c r="A23" s="133" t="s">
        <v>160</v>
      </c>
      <c r="B23" s="117">
        <f>Bovinos_e_Comerc!B236</f>
        <v>11312</v>
      </c>
      <c r="C23" s="118">
        <f>Bovinos_e_Comerc!C237+Bovinos_e_Comerc!D237</f>
        <v>9162.72</v>
      </c>
      <c r="D23" s="296">
        <f>Bovinos_e_Comerc!C237</f>
        <v>426.00000000000006</v>
      </c>
      <c r="E23" s="296">
        <f>Bovinos_e_Comerc!D237</f>
        <v>8736.72</v>
      </c>
      <c r="F23" s="296">
        <f>Bovinos_e_Comerc!E237</f>
        <v>0</v>
      </c>
      <c r="G23" s="296">
        <f>Bovinos_e_Comerc!F237</f>
        <v>2149.28</v>
      </c>
      <c r="H23" s="119">
        <f t="shared" si="8"/>
        <v>0.8099999999999999</v>
      </c>
      <c r="I23" s="120">
        <f>(Reb__Est__por_faixa_etária!L20+Reb__Est__por_faixa_etária!N20)</f>
        <v>6310</v>
      </c>
      <c r="J23" s="134">
        <v>0.74399</v>
      </c>
      <c r="K23" s="121">
        <f t="shared" si="1"/>
        <v>4694.5769</v>
      </c>
      <c r="L23" s="122">
        <f t="shared" si="2"/>
        <v>0.09074300178148109</v>
      </c>
      <c r="M23" s="122">
        <f t="shared" si="3"/>
        <v>0.46925699821851885</v>
      </c>
      <c r="N23" s="122">
        <v>0.2</v>
      </c>
      <c r="O23" s="122">
        <v>0.24</v>
      </c>
      <c r="P23" s="124">
        <f t="shared" si="4"/>
        <v>4048.2289255928476</v>
      </c>
      <c r="Q23" s="125">
        <f t="shared" si="5"/>
        <v>13.272881723255239</v>
      </c>
      <c r="R23" s="126">
        <f t="shared" si="0"/>
        <v>19004.722</v>
      </c>
      <c r="S23" s="124">
        <v>7600</v>
      </c>
      <c r="T23" s="124">
        <v>4600</v>
      </c>
      <c r="U23" s="124">
        <v>3600</v>
      </c>
      <c r="V23" s="124">
        <v>2000</v>
      </c>
      <c r="W23" s="135"/>
      <c r="X23" s="128">
        <v>426</v>
      </c>
      <c r="Y23" s="136">
        <f t="shared" si="6"/>
        <v>0.03765912305516266</v>
      </c>
      <c r="Z23" s="130">
        <f t="shared" si="7"/>
        <v>0.74399</v>
      </c>
      <c r="AA23" s="137">
        <v>4694.5769</v>
      </c>
      <c r="AC23" s="132">
        <f t="shared" si="9"/>
        <v>0.5123562544746538</v>
      </c>
    </row>
    <row r="24" spans="1:29" s="51" customFormat="1" ht="15" customHeight="1">
      <c r="A24" s="133" t="s">
        <v>161</v>
      </c>
      <c r="B24" s="117">
        <f>Bovinos_e_Comerc!B251</f>
        <v>21297</v>
      </c>
      <c r="C24" s="118">
        <f>Bovinos_e_Comerc!C252+Bovinos_e_Comerc!D252</f>
        <v>16611.66</v>
      </c>
      <c r="D24" s="296">
        <f>Bovinos_e_Comerc!C252</f>
        <v>148</v>
      </c>
      <c r="E24" s="296">
        <f>Bovinos_e_Comerc!D252</f>
        <v>16463.66</v>
      </c>
      <c r="F24" s="296">
        <f>Bovinos_e_Comerc!E252</f>
        <v>851.88</v>
      </c>
      <c r="G24" s="296">
        <f>Bovinos_e_Comerc!F252</f>
        <v>3833.46</v>
      </c>
      <c r="H24" s="119">
        <f t="shared" si="8"/>
        <v>0.78</v>
      </c>
      <c r="I24" s="120">
        <f>(Reb__Est__por_faixa_etária!L21+Reb__Est__por_faixa_etária!N21)</f>
        <v>11424</v>
      </c>
      <c r="J24" s="134">
        <v>0.5301000000000001</v>
      </c>
      <c r="K24" s="121">
        <f t="shared" si="1"/>
        <v>6055.862400000002</v>
      </c>
      <c r="L24" s="122">
        <f t="shared" si="2"/>
        <v>0.024439128603714635</v>
      </c>
      <c r="M24" s="122">
        <f t="shared" si="3"/>
        <v>0.37556087139628547</v>
      </c>
      <c r="N24" s="122">
        <v>0.35</v>
      </c>
      <c r="O24" s="122">
        <v>0.25</v>
      </c>
      <c r="P24" s="124">
        <f t="shared" si="4"/>
        <v>3550.7613250921936</v>
      </c>
      <c r="Q24" s="125">
        <f t="shared" si="5"/>
        <v>11.641840410138341</v>
      </c>
      <c r="R24" s="126">
        <f t="shared" si="0"/>
        <v>21502.922</v>
      </c>
      <c r="S24" s="124">
        <v>7600</v>
      </c>
      <c r="T24" s="124">
        <v>4500</v>
      </c>
      <c r="U24" s="124">
        <v>3500</v>
      </c>
      <c r="V24" s="124">
        <v>1800</v>
      </c>
      <c r="W24" s="135"/>
      <c r="X24" s="128">
        <v>148</v>
      </c>
      <c r="Y24" s="136">
        <f t="shared" si="6"/>
        <v>0.006949335587171902</v>
      </c>
      <c r="Z24" s="130">
        <f t="shared" si="7"/>
        <v>0.5301000000000001</v>
      </c>
      <c r="AA24" s="137">
        <v>6055.862400000001</v>
      </c>
      <c r="AC24" s="132">
        <f t="shared" si="9"/>
        <v>0.3645549210614714</v>
      </c>
    </row>
    <row r="25" spans="1:29" s="51" customFormat="1" ht="15" customHeight="1">
      <c r="A25" s="133" t="s">
        <v>162</v>
      </c>
      <c r="B25" s="117">
        <f>Bovinos_e_Comerc!B266</f>
        <v>24149</v>
      </c>
      <c r="C25" s="118">
        <f>Bovinos_e_Comerc!C267+Bovinos_e_Comerc!D267</f>
        <v>16904.3</v>
      </c>
      <c r="D25" s="296">
        <f>Bovinos_e_Comerc!C267</f>
        <v>196.00000000000003</v>
      </c>
      <c r="E25" s="296">
        <f>Bovinos_e_Comerc!D267</f>
        <v>16708.3</v>
      </c>
      <c r="F25" s="296">
        <f>Bovinos_e_Comerc!E267</f>
        <v>2656.39</v>
      </c>
      <c r="G25" s="296">
        <f>Bovinos_e_Comerc!F267</f>
        <v>4588.31</v>
      </c>
      <c r="H25" s="119">
        <f t="shared" si="8"/>
        <v>0.7</v>
      </c>
      <c r="I25" s="120">
        <f>(Reb__Est__por_faixa_etária!L22+Reb__Est__por_faixa_etária!N22)</f>
        <v>12060</v>
      </c>
      <c r="J25" s="134">
        <v>0.57</v>
      </c>
      <c r="K25" s="121">
        <f t="shared" si="1"/>
        <v>6874.2</v>
      </c>
      <c r="L25" s="122">
        <f t="shared" si="2"/>
        <v>0.028512408716650665</v>
      </c>
      <c r="M25" s="122">
        <f t="shared" si="3"/>
        <v>0.5514875912833492</v>
      </c>
      <c r="N25" s="122">
        <v>0.25</v>
      </c>
      <c r="O25" s="122">
        <v>0.17000000000000004</v>
      </c>
      <c r="P25" s="124">
        <f t="shared" si="4"/>
        <v>3993.5372843385417</v>
      </c>
      <c r="Q25" s="125">
        <f t="shared" si="5"/>
        <v>13.093564866683742</v>
      </c>
      <c r="R25" s="126">
        <f t="shared" si="0"/>
        <v>27452.374</v>
      </c>
      <c r="S25" s="124">
        <v>7600</v>
      </c>
      <c r="T25" s="124">
        <v>4600</v>
      </c>
      <c r="U25" s="124">
        <v>3600</v>
      </c>
      <c r="V25" s="124">
        <v>2000</v>
      </c>
      <c r="W25" s="135"/>
      <c r="X25" s="128">
        <v>196</v>
      </c>
      <c r="Y25" s="136">
        <f t="shared" si="6"/>
        <v>0.008116278106753904</v>
      </c>
      <c r="Z25" s="130">
        <f t="shared" si="7"/>
        <v>0.57</v>
      </c>
      <c r="AA25" s="137">
        <v>6874.2</v>
      </c>
      <c r="AC25" s="132">
        <f t="shared" si="9"/>
        <v>0.406653928290435</v>
      </c>
    </row>
    <row r="26" spans="1:29" s="51" customFormat="1" ht="15" customHeight="1">
      <c r="A26" s="133" t="s">
        <v>163</v>
      </c>
      <c r="B26" s="117">
        <f>Bovinos_e_Comerc!B281</f>
        <v>19416</v>
      </c>
      <c r="C26" s="118">
        <f>Bovinos_e_Comerc!C282+Bovinos_e_Comerc!D282</f>
        <v>14367.84</v>
      </c>
      <c r="D26" s="296">
        <f>Bovinos_e_Comerc!C282</f>
        <v>340.00000000000006</v>
      </c>
      <c r="E26" s="296">
        <f>Bovinos_e_Comerc!D282</f>
        <v>14027.84</v>
      </c>
      <c r="F26" s="296">
        <f>Bovinos_e_Comerc!E282</f>
        <v>0</v>
      </c>
      <c r="G26" s="296">
        <f>Bovinos_e_Comerc!F282</f>
        <v>5048.16</v>
      </c>
      <c r="H26" s="119">
        <f t="shared" si="8"/>
        <v>0.74</v>
      </c>
      <c r="I26" s="120">
        <f>(Reb__Est__por_faixa_etária!L23+Reb__Est__por_faixa_etária!N23)</f>
        <v>10609</v>
      </c>
      <c r="J26" s="134">
        <v>0.657</v>
      </c>
      <c r="K26" s="121">
        <f t="shared" si="1"/>
        <v>6970.113</v>
      </c>
      <c r="L26" s="122">
        <f t="shared" si="2"/>
        <v>0.04877969697191423</v>
      </c>
      <c r="M26" s="122">
        <f t="shared" si="3"/>
        <v>0.40122030302808587</v>
      </c>
      <c r="N26" s="122">
        <v>0.35</v>
      </c>
      <c r="O26" s="122">
        <v>0.19999999999999996</v>
      </c>
      <c r="P26" s="124">
        <f t="shared" si="4"/>
        <v>3876.3390206155914</v>
      </c>
      <c r="Q26" s="125">
        <f t="shared" si="5"/>
        <v>12.709308264313414</v>
      </c>
      <c r="R26" s="126">
        <f t="shared" si="0"/>
        <v>27018.521</v>
      </c>
      <c r="S26" s="124">
        <v>7600</v>
      </c>
      <c r="T26" s="124">
        <v>4600</v>
      </c>
      <c r="U26" s="124">
        <v>3600</v>
      </c>
      <c r="V26" s="124">
        <v>2000</v>
      </c>
      <c r="W26" s="135"/>
      <c r="X26" s="128">
        <v>340</v>
      </c>
      <c r="Y26" s="136">
        <f t="shared" si="6"/>
        <v>0.01751133086114545</v>
      </c>
      <c r="Z26" s="130">
        <f t="shared" si="7"/>
        <v>0.657</v>
      </c>
      <c r="AA26" s="137">
        <v>6970.113</v>
      </c>
      <c r="AC26" s="132">
        <f t="shared" si="9"/>
        <v>0.4851190575618882</v>
      </c>
    </row>
    <row r="27" spans="1:29" s="51" customFormat="1" ht="15" customHeight="1">
      <c r="A27" s="133" t="s">
        <v>164</v>
      </c>
      <c r="B27" s="117">
        <f>Bovinos_e_Comerc!B296</f>
        <v>17275</v>
      </c>
      <c r="C27" s="118">
        <f>Bovinos_e_Comerc!C297+Bovinos_e_Comerc!D297</f>
        <v>14165.5</v>
      </c>
      <c r="D27" s="296">
        <f>Bovinos_e_Comerc!C297</f>
        <v>1161</v>
      </c>
      <c r="E27" s="296">
        <f>Bovinos_e_Comerc!D297</f>
        <v>13004.5</v>
      </c>
      <c r="F27" s="296">
        <f>Bovinos_e_Comerc!E297</f>
        <v>345.5</v>
      </c>
      <c r="G27" s="296">
        <f>Bovinos_e_Comerc!F297</f>
        <v>2764</v>
      </c>
      <c r="H27" s="119">
        <f t="shared" si="8"/>
        <v>0.82</v>
      </c>
      <c r="I27" s="120">
        <f>(Reb__Est__por_faixa_etária!L24+Reb__Est__por_faixa_etária!N24)</f>
        <v>9467</v>
      </c>
      <c r="J27" s="134">
        <v>0.7686495</v>
      </c>
      <c r="K27" s="121">
        <f t="shared" si="1"/>
        <v>7276.8048165</v>
      </c>
      <c r="L27" s="122">
        <f t="shared" si="2"/>
        <v>0.1595480474297534</v>
      </c>
      <c r="M27" s="122">
        <f t="shared" si="3"/>
        <v>0.4404519525702466</v>
      </c>
      <c r="N27" s="122">
        <v>0.25</v>
      </c>
      <c r="O27" s="122">
        <v>0.15000000000000002</v>
      </c>
      <c r="P27" s="124">
        <f t="shared" si="4"/>
        <v>4438.644132210661</v>
      </c>
      <c r="Q27" s="125">
        <f t="shared" si="5"/>
        <v>14.55293158101856</v>
      </c>
      <c r="R27" s="126">
        <f t="shared" si="0"/>
        <v>32299.147</v>
      </c>
      <c r="S27" s="124">
        <v>7600</v>
      </c>
      <c r="T27" s="124">
        <v>4600</v>
      </c>
      <c r="U27" s="124">
        <v>3600</v>
      </c>
      <c r="V27" s="124">
        <v>2000</v>
      </c>
      <c r="W27" s="135"/>
      <c r="X27" s="128">
        <v>1161</v>
      </c>
      <c r="Y27" s="136">
        <f t="shared" si="6"/>
        <v>0.0672069464544139</v>
      </c>
      <c r="Z27" s="130">
        <f t="shared" si="7"/>
        <v>0.7686495</v>
      </c>
      <c r="AA27" s="137">
        <v>7276.8048165</v>
      </c>
      <c r="AC27" s="132">
        <f t="shared" si="9"/>
        <v>0.5136991152094879</v>
      </c>
    </row>
    <row r="28" spans="1:25" s="147" customFormat="1" ht="15" customHeight="1">
      <c r="A28" s="138" t="s">
        <v>165</v>
      </c>
      <c r="B28" s="139">
        <f>SUM(B8:B27)</f>
        <v>386941</v>
      </c>
      <c r="C28" s="139">
        <f>SUM(C8:C27)</f>
        <v>299209.68000000005</v>
      </c>
      <c r="D28" s="139"/>
      <c r="E28" s="139"/>
      <c r="F28" s="139"/>
      <c r="G28" s="139"/>
      <c r="H28" s="140">
        <f t="shared" si="8"/>
        <v>0.7732695165412816</v>
      </c>
      <c r="I28" s="139">
        <f>SUM(I8:I27)</f>
        <v>208533</v>
      </c>
      <c r="J28" s="140">
        <f>K28/I28</f>
        <v>0.6681051045443249</v>
      </c>
      <c r="K28" s="141">
        <f>SUM(K8:K27)</f>
        <v>139321.9617659417</v>
      </c>
      <c r="L28" s="140">
        <f t="shared" si="2"/>
        <v>0.10081684051791504</v>
      </c>
      <c r="M28" s="140">
        <f t="shared" si="3"/>
        <v>0.4991831594820849</v>
      </c>
      <c r="N28" s="140">
        <v>0.25</v>
      </c>
      <c r="O28" s="140">
        <v>0.15000000000000002</v>
      </c>
      <c r="P28" s="142">
        <f t="shared" si="4"/>
        <v>4016.63097408954</v>
      </c>
      <c r="Q28" s="143">
        <f t="shared" si="5"/>
        <v>13.169281882260787</v>
      </c>
      <c r="R28" s="144">
        <f>SUM(R8:R27)</f>
        <v>559604.907</v>
      </c>
      <c r="S28" s="118">
        <v>7600.000000000004</v>
      </c>
      <c r="T28" s="118">
        <v>4584.564437356398</v>
      </c>
      <c r="U28" s="118">
        <v>3579.141034320414</v>
      </c>
      <c r="V28" s="118">
        <v>1982.1337395044693</v>
      </c>
      <c r="W28" s="145"/>
      <c r="X28" s="142">
        <f>SUM(X8:X27)</f>
        <v>14046</v>
      </c>
      <c r="Y28" s="146">
        <f t="shared" si="6"/>
        <v>0.036300107768367784</v>
      </c>
    </row>
    <row r="30" ht="11.25">
      <c r="R30" s="148"/>
    </row>
  </sheetData>
  <sheetProtection/>
  <mergeCells count="13">
    <mergeCell ref="S6:V6"/>
    <mergeCell ref="B6:H6"/>
    <mergeCell ref="I6:I7"/>
    <mergeCell ref="J6:K6"/>
    <mergeCell ref="L6:O6"/>
    <mergeCell ref="P6:Q6"/>
    <mergeCell ref="R6:R7"/>
    <mergeCell ref="X6:Y6"/>
    <mergeCell ref="Z6:AA6"/>
    <mergeCell ref="X7:Y7"/>
    <mergeCell ref="X1:AA1"/>
    <mergeCell ref="X2:AA2"/>
    <mergeCell ref="Z4:AA5"/>
  </mergeCells>
  <printOptions horizontalCentered="1"/>
  <pageMargins left="0.39375" right="0.39375" top="0" bottom="0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4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6" sqref="A6"/>
    </sheetView>
  </sheetViews>
  <sheetFormatPr defaultColWidth="12.1484375" defaultRowHeight="23.25"/>
  <cols>
    <col min="1" max="1" width="27.30859375" style="0" customWidth="1"/>
    <col min="2" max="9" width="7.30859375" style="0" customWidth="1"/>
    <col min="10" max="10" width="13.83984375" style="0" customWidth="1"/>
    <col min="11" max="12" width="8.30859375" style="0" customWidth="1"/>
    <col min="13" max="13" width="2.1484375" style="149" customWidth="1"/>
    <col min="14" max="14" width="12.1484375" style="0" customWidth="1"/>
    <col min="15" max="15" width="9.69140625" style="0" customWidth="1"/>
    <col min="16" max="16" width="10.69140625" style="0" customWidth="1"/>
    <col min="17" max="17" width="9.69140625" style="0" customWidth="1"/>
    <col min="18" max="18" width="5.83984375" style="0" customWidth="1"/>
    <col min="19" max="19" width="8.30859375" style="150" customWidth="1"/>
    <col min="20" max="20" width="9.69140625" style="151" customWidth="1"/>
    <col min="21" max="22" width="8.4609375" style="0" customWidth="1"/>
    <col min="23" max="24" width="7" style="0" customWidth="1"/>
  </cols>
  <sheetData>
    <row r="1" spans="1:20" s="155" customFormat="1" ht="16.5" customHeight="1">
      <c r="A1" s="152" t="s">
        <v>166</v>
      </c>
      <c r="B1" s="153"/>
      <c r="C1" s="153"/>
      <c r="D1" s="153"/>
      <c r="E1" s="153"/>
      <c r="F1" s="153"/>
      <c r="G1" s="153"/>
      <c r="H1" s="153"/>
      <c r="I1" s="153"/>
      <c r="J1" s="332" t="s">
        <v>167</v>
      </c>
      <c r="K1" s="333" t="s">
        <v>168</v>
      </c>
      <c r="L1" s="333"/>
      <c r="M1" s="154"/>
      <c r="O1" s="156"/>
      <c r="P1" s="156"/>
      <c r="Q1" s="156"/>
      <c r="R1" s="157"/>
      <c r="S1" s="158"/>
      <c r="T1" s="159"/>
    </row>
    <row r="2" spans="1:20" s="155" customFormat="1" ht="14.25" customHeight="1">
      <c r="A2" s="160" t="s">
        <v>46</v>
      </c>
      <c r="B2" s="328" t="s">
        <v>169</v>
      </c>
      <c r="C2" s="328"/>
      <c r="D2" s="328" t="s">
        <v>170</v>
      </c>
      <c r="E2" s="328"/>
      <c r="F2" s="328" t="s">
        <v>171</v>
      </c>
      <c r="G2" s="328"/>
      <c r="H2" s="328" t="s">
        <v>172</v>
      </c>
      <c r="I2" s="328"/>
      <c r="J2" s="332"/>
      <c r="K2" s="334" t="s">
        <v>173</v>
      </c>
      <c r="L2" s="334"/>
      <c r="M2" s="154"/>
      <c r="N2" s="329" t="s">
        <v>46</v>
      </c>
      <c r="O2" s="330" t="s">
        <v>47</v>
      </c>
      <c r="P2" s="330"/>
      <c r="Q2" s="330"/>
      <c r="R2" s="161"/>
      <c r="S2" s="331" t="s">
        <v>131</v>
      </c>
      <c r="T2" s="331"/>
    </row>
    <row r="3" spans="1:20" s="155" customFormat="1" ht="15.75" customHeight="1">
      <c r="A3" s="162" t="s">
        <v>174</v>
      </c>
      <c r="B3" s="163" t="s">
        <v>175</v>
      </c>
      <c r="C3" s="163" t="s">
        <v>176</v>
      </c>
      <c r="D3" s="163" t="s">
        <v>175</v>
      </c>
      <c r="E3" s="163" t="s">
        <v>176</v>
      </c>
      <c r="F3" s="163" t="s">
        <v>175</v>
      </c>
      <c r="G3" s="163" t="s">
        <v>176</v>
      </c>
      <c r="H3" s="163" t="s">
        <v>175</v>
      </c>
      <c r="I3" s="163" t="s">
        <v>176</v>
      </c>
      <c r="J3" s="164">
        <f>SUM(Reb__Est__por_faixa_etária!D5)</f>
        <v>997</v>
      </c>
      <c r="K3" s="165" t="s">
        <v>177</v>
      </c>
      <c r="L3" s="165" t="s">
        <v>178</v>
      </c>
      <c r="M3" s="154"/>
      <c r="N3" s="329"/>
      <c r="O3" s="323" t="s">
        <v>54</v>
      </c>
      <c r="P3" s="323" t="s">
        <v>55</v>
      </c>
      <c r="Q3" s="323" t="s">
        <v>56</v>
      </c>
      <c r="R3" s="166"/>
      <c r="S3" s="331" t="s">
        <v>179</v>
      </c>
      <c r="T3" s="331"/>
    </row>
    <row r="4" spans="1:20" s="155" customFormat="1" ht="15.75">
      <c r="A4" s="167" t="s">
        <v>180</v>
      </c>
      <c r="B4" s="168">
        <v>11</v>
      </c>
      <c r="C4" s="168">
        <v>12</v>
      </c>
      <c r="D4" s="168">
        <v>680</v>
      </c>
      <c r="E4" s="168">
        <v>257</v>
      </c>
      <c r="F4" s="168">
        <v>1411</v>
      </c>
      <c r="G4" s="168">
        <v>259</v>
      </c>
      <c r="H4" s="168">
        <v>543</v>
      </c>
      <c r="I4" s="168">
        <v>1262</v>
      </c>
      <c r="J4" s="169"/>
      <c r="K4" s="170">
        <f>J3*0.6</f>
        <v>598.2</v>
      </c>
      <c r="L4" s="170">
        <f>J3*0.4</f>
        <v>398.8</v>
      </c>
      <c r="M4" s="154"/>
      <c r="N4" s="329"/>
      <c r="O4" s="323"/>
      <c r="P4" s="323"/>
      <c r="Q4" s="323"/>
      <c r="R4" s="166"/>
      <c r="S4" s="171">
        <v>2020</v>
      </c>
      <c r="T4" s="171">
        <v>2019</v>
      </c>
    </row>
    <row r="5" spans="1:20" s="155" customFormat="1" ht="15.75">
      <c r="A5" s="167" t="s">
        <v>181</v>
      </c>
      <c r="B5" s="172">
        <v>2751</v>
      </c>
      <c r="C5" s="172">
        <v>2023</v>
      </c>
      <c r="D5" s="172">
        <v>1288</v>
      </c>
      <c r="E5" s="172">
        <v>1415</v>
      </c>
      <c r="F5" s="172">
        <v>445</v>
      </c>
      <c r="G5" s="172">
        <v>595</v>
      </c>
      <c r="H5" s="172">
        <v>223</v>
      </c>
      <c r="I5" s="172">
        <v>2369</v>
      </c>
      <c r="J5" s="173"/>
      <c r="K5" s="174"/>
      <c r="L5" s="174"/>
      <c r="M5" s="154"/>
      <c r="N5" s="175" t="s">
        <v>67</v>
      </c>
      <c r="O5" s="176">
        <f>SUM(F4,H4,F11,H11)</f>
        <v>2042</v>
      </c>
      <c r="P5" s="176">
        <f>SUM(B4,D4,B11,D11,K4)</f>
        <v>1314.2</v>
      </c>
      <c r="Q5" s="177"/>
      <c r="R5" s="178"/>
      <c r="S5" s="179">
        <f>(O5+P5+O6+P6+O12+P12+O13+P13+Q13+Q12)</f>
        <v>20761.032000000003</v>
      </c>
      <c r="T5" s="179">
        <v>23804</v>
      </c>
    </row>
    <row r="6" spans="1:20" s="155" customFormat="1" ht="15.75">
      <c r="A6" s="167" t="s">
        <v>182</v>
      </c>
      <c r="B6" s="172">
        <v>0</v>
      </c>
      <c r="C6" s="172">
        <v>0</v>
      </c>
      <c r="D6" s="172">
        <v>0</v>
      </c>
      <c r="E6" s="172">
        <v>16</v>
      </c>
      <c r="F6" s="172">
        <v>21</v>
      </c>
      <c r="G6" s="172">
        <v>30</v>
      </c>
      <c r="H6" s="172">
        <v>0</v>
      </c>
      <c r="I6" s="172">
        <v>106</v>
      </c>
      <c r="J6" s="173"/>
      <c r="K6" s="174"/>
      <c r="L6" s="174"/>
      <c r="M6" s="154"/>
      <c r="N6" s="175" t="s">
        <v>69</v>
      </c>
      <c r="O6" s="176">
        <f>SUM(G4,I4,G11,I11)</f>
        <v>1840</v>
      </c>
      <c r="P6" s="176">
        <f>SUM(C4,E4,C11,E11,L4)</f>
        <v>701.8</v>
      </c>
      <c r="Q6" s="180"/>
      <c r="R6" s="181"/>
      <c r="S6" s="182" t="s">
        <v>183</v>
      </c>
      <c r="T6" s="183">
        <f>S5-T5</f>
        <v>-3042.967999999997</v>
      </c>
    </row>
    <row r="7" spans="1:20" s="155" customFormat="1" ht="15.75">
      <c r="A7" s="167" t="s">
        <v>184</v>
      </c>
      <c r="B7" s="172">
        <v>215</v>
      </c>
      <c r="C7" s="172">
        <v>444</v>
      </c>
      <c r="D7" s="172">
        <v>50</v>
      </c>
      <c r="E7" s="172">
        <v>60</v>
      </c>
      <c r="F7" s="172">
        <v>22</v>
      </c>
      <c r="G7" s="172">
        <v>0</v>
      </c>
      <c r="H7" s="172">
        <v>0</v>
      </c>
      <c r="I7" s="172">
        <v>0</v>
      </c>
      <c r="J7" s="173"/>
      <c r="K7" s="174"/>
      <c r="L7" s="174"/>
      <c r="M7" s="154"/>
      <c r="O7" s="156"/>
      <c r="P7" s="156"/>
      <c r="Q7" s="156"/>
      <c r="R7" s="157"/>
      <c r="S7" s="184"/>
      <c r="T7" s="185"/>
    </row>
    <row r="8" spans="1:20" s="155" customFormat="1" ht="6" customHeight="1">
      <c r="A8" s="174"/>
      <c r="B8"/>
      <c r="C8"/>
      <c r="D8"/>
      <c r="E8"/>
      <c r="F8"/>
      <c r="G8"/>
      <c r="H8"/>
      <c r="I8"/>
      <c r="J8" s="174"/>
      <c r="K8" s="174"/>
      <c r="L8" s="174"/>
      <c r="M8" s="154"/>
      <c r="O8" s="156"/>
      <c r="P8" s="156"/>
      <c r="Q8" s="156"/>
      <c r="R8" s="157"/>
      <c r="S8" s="184"/>
      <c r="T8" s="185"/>
    </row>
    <row r="9" spans="1:20" s="155" customFormat="1" ht="13.5" customHeight="1">
      <c r="A9" s="160" t="s">
        <v>46</v>
      </c>
      <c r="B9" s="327" t="s">
        <v>169</v>
      </c>
      <c r="C9" s="327"/>
      <c r="D9" s="327" t="s">
        <v>170</v>
      </c>
      <c r="E9" s="327"/>
      <c r="F9" s="328" t="s">
        <v>171</v>
      </c>
      <c r="G9" s="328"/>
      <c r="H9" s="328" t="s">
        <v>172</v>
      </c>
      <c r="I9" s="328"/>
      <c r="J9" s="186"/>
      <c r="K9" s="186"/>
      <c r="L9" s="186"/>
      <c r="M9" s="154"/>
      <c r="N9" s="329" t="s">
        <v>46</v>
      </c>
      <c r="O9" s="330" t="s">
        <v>185</v>
      </c>
      <c r="P9" s="330"/>
      <c r="Q9" s="330"/>
      <c r="R9" s="161"/>
      <c r="S9" s="322">
        <v>2019</v>
      </c>
      <c r="T9" s="322"/>
    </row>
    <row r="10" spans="1:20" s="155" customFormat="1" ht="13.5" customHeight="1">
      <c r="A10" s="162" t="s">
        <v>186</v>
      </c>
      <c r="B10" s="187" t="s">
        <v>175</v>
      </c>
      <c r="C10" s="187" t="s">
        <v>176</v>
      </c>
      <c r="D10" s="187" t="s">
        <v>175</v>
      </c>
      <c r="E10" s="187" t="s">
        <v>176</v>
      </c>
      <c r="F10" s="163" t="s">
        <v>175</v>
      </c>
      <c r="G10" s="163" t="s">
        <v>176</v>
      </c>
      <c r="H10" s="163" t="s">
        <v>175</v>
      </c>
      <c r="I10" s="163" t="s">
        <v>176</v>
      </c>
      <c r="J10" s="186"/>
      <c r="K10" s="186"/>
      <c r="L10" s="186"/>
      <c r="M10" s="154"/>
      <c r="N10" s="329"/>
      <c r="O10" s="323" t="s">
        <v>57</v>
      </c>
      <c r="P10" s="324" t="s">
        <v>187</v>
      </c>
      <c r="Q10" s="324" t="s">
        <v>59</v>
      </c>
      <c r="R10" s="188"/>
      <c r="S10" s="325" t="s">
        <v>57</v>
      </c>
      <c r="T10" s="326" t="s">
        <v>187</v>
      </c>
    </row>
    <row r="11" spans="1:24" s="155" customFormat="1" ht="15.75">
      <c r="A11" s="167" t="s">
        <v>180</v>
      </c>
      <c r="B11" s="168">
        <v>6</v>
      </c>
      <c r="C11" s="168">
        <v>6</v>
      </c>
      <c r="D11" s="168">
        <v>19</v>
      </c>
      <c r="E11" s="168">
        <v>28</v>
      </c>
      <c r="F11" s="168">
        <v>43</v>
      </c>
      <c r="G11" s="168">
        <v>60</v>
      </c>
      <c r="H11" s="168">
        <v>45</v>
      </c>
      <c r="I11" s="168">
        <v>259</v>
      </c>
      <c r="J11" s="173"/>
      <c r="K11" s="174"/>
      <c r="L11" s="174"/>
      <c r="M11" s="154"/>
      <c r="N11" s="329"/>
      <c r="O11" s="323"/>
      <c r="P11" s="323"/>
      <c r="Q11" s="324"/>
      <c r="R11" s="188"/>
      <c r="S11" s="325"/>
      <c r="T11" s="325"/>
      <c r="U11"/>
      <c r="V11"/>
      <c r="W11"/>
      <c r="X11"/>
    </row>
    <row r="12" spans="1:24" s="155" customFormat="1" ht="15.75">
      <c r="A12" s="189" t="s">
        <v>181</v>
      </c>
      <c r="B12" s="172">
        <v>2202</v>
      </c>
      <c r="C12" s="172">
        <v>1533</v>
      </c>
      <c r="D12" s="172">
        <v>884</v>
      </c>
      <c r="E12" s="172">
        <v>1190</v>
      </c>
      <c r="F12" s="172">
        <v>446</v>
      </c>
      <c r="G12" s="172">
        <v>936</v>
      </c>
      <c r="H12" s="172">
        <v>224</v>
      </c>
      <c r="I12" s="172">
        <v>2499</v>
      </c>
      <c r="J12" s="173"/>
      <c r="K12" s="174"/>
      <c r="L12" s="174"/>
      <c r="M12" s="154"/>
      <c r="N12" s="190" t="s">
        <v>67</v>
      </c>
      <c r="O12" s="176">
        <f>SUM(B5,B6,B7,B12,B13)*0.65</f>
        <v>3359.2000000000003</v>
      </c>
      <c r="P12" s="176">
        <f>SUM(D5,F5,H5,D7,F7,H7,D12,F12,H12)*0.768</f>
        <v>2750.976</v>
      </c>
      <c r="Q12" s="176">
        <f>SUM(D6,F6,H6,D13,F13,H13)</f>
        <v>21</v>
      </c>
      <c r="R12" s="181"/>
      <c r="S12" s="191">
        <v>4105</v>
      </c>
      <c r="T12" s="192">
        <v>3710</v>
      </c>
      <c r="U12" s="193">
        <f>O12/S12*1-1</f>
        <v>-0.18168087697929347</v>
      </c>
      <c r="V12" s="193">
        <f>P12/T12*1-1</f>
        <v>-0.2584970350404312</v>
      </c>
      <c r="W12" s="194">
        <f>O12-S12</f>
        <v>-745.7999999999997</v>
      </c>
      <c r="X12" s="194">
        <f>P12-T12</f>
        <v>-959.0239999999999</v>
      </c>
    </row>
    <row r="13" spans="1:24" s="155" customFormat="1" ht="15.75">
      <c r="A13" s="189" t="s">
        <v>182</v>
      </c>
      <c r="B13" s="172">
        <v>0</v>
      </c>
      <c r="C13" s="172">
        <v>0</v>
      </c>
      <c r="D13" s="172">
        <v>0</v>
      </c>
      <c r="E13" s="172">
        <v>24</v>
      </c>
      <c r="F13" s="172">
        <v>0</v>
      </c>
      <c r="G13" s="172">
        <v>18</v>
      </c>
      <c r="H13" s="172">
        <v>0</v>
      </c>
      <c r="I13" s="172">
        <v>139</v>
      </c>
      <c r="J13" s="173"/>
      <c r="K13" s="174"/>
      <c r="L13" s="174"/>
      <c r="M13" s="154"/>
      <c r="N13" s="190" t="s">
        <v>69</v>
      </c>
      <c r="O13" s="176">
        <f>SUM(C5,C6,C7,C12,C13)*0.67</f>
        <v>2680</v>
      </c>
      <c r="P13" s="176">
        <f>SUM(E5,G5,I5,E6,E7,G7,I7,E12,G12,I12,E13)*0.639</f>
        <v>5817.456</v>
      </c>
      <c r="Q13" s="176">
        <f>SUM(G6,I6,G13,I13)*0.8</f>
        <v>234.4</v>
      </c>
      <c r="R13" s="181"/>
      <c r="S13" s="195">
        <v>3314</v>
      </c>
      <c r="T13" s="195">
        <v>7675</v>
      </c>
      <c r="U13" s="193">
        <f>O13/S13*1-1</f>
        <v>-0.19130959565479788</v>
      </c>
      <c r="V13" s="193">
        <f>P13/T13*1-1</f>
        <v>-0.24202527687296416</v>
      </c>
      <c r="W13" s="194">
        <f>O13-S13</f>
        <v>-634</v>
      </c>
      <c r="X13" s="194">
        <f>P13-T13</f>
        <v>-1857.5439999999999</v>
      </c>
    </row>
    <row r="14" spans="1:20" ht="15.75">
      <c r="A14" s="196"/>
      <c r="J14" s="196"/>
      <c r="K14" s="196"/>
      <c r="L14" s="196"/>
      <c r="M14" s="197"/>
      <c r="N14" s="196"/>
      <c r="O14" s="196"/>
      <c r="P14" s="196"/>
      <c r="Q14" s="196"/>
      <c r="R14" s="196"/>
      <c r="S14" s="198"/>
      <c r="T14" s="199"/>
    </row>
    <row r="15" spans="1:20" s="155" customFormat="1" ht="16.5" customHeight="1">
      <c r="A15" s="152" t="s">
        <v>188</v>
      </c>
      <c r="B15" s="153"/>
      <c r="C15" s="153"/>
      <c r="D15" s="153"/>
      <c r="E15" s="153"/>
      <c r="F15" s="153"/>
      <c r="G15" s="153"/>
      <c r="H15" s="153"/>
      <c r="I15" s="153"/>
      <c r="J15" s="332" t="s">
        <v>167</v>
      </c>
      <c r="K15" s="333" t="s">
        <v>168</v>
      </c>
      <c r="L15" s="333"/>
      <c r="M15" s="154"/>
      <c r="O15" s="156"/>
      <c r="P15" s="156"/>
      <c r="Q15" s="156"/>
      <c r="R15" s="157"/>
      <c r="S15" s="158"/>
      <c r="T15" s="159"/>
    </row>
    <row r="16" spans="1:20" s="155" customFormat="1" ht="16.5" customHeight="1">
      <c r="A16" s="160" t="s">
        <v>46</v>
      </c>
      <c r="B16" s="328" t="s">
        <v>169</v>
      </c>
      <c r="C16" s="328"/>
      <c r="D16" s="328" t="s">
        <v>170</v>
      </c>
      <c r="E16" s="328"/>
      <c r="F16" s="328" t="s">
        <v>171</v>
      </c>
      <c r="G16" s="328"/>
      <c r="H16" s="328" t="s">
        <v>172</v>
      </c>
      <c r="I16" s="328"/>
      <c r="J16" s="332"/>
      <c r="K16" s="334" t="s">
        <v>173</v>
      </c>
      <c r="L16" s="334"/>
      <c r="M16" s="154"/>
      <c r="N16" s="329" t="s">
        <v>46</v>
      </c>
      <c r="O16" s="330" t="s">
        <v>47</v>
      </c>
      <c r="P16" s="330"/>
      <c r="Q16" s="330"/>
      <c r="R16" s="161"/>
      <c r="S16" s="331" t="s">
        <v>131</v>
      </c>
      <c r="T16" s="331"/>
    </row>
    <row r="17" spans="1:20" s="155" customFormat="1" ht="15.75" customHeight="1">
      <c r="A17" s="162" t="s">
        <v>174</v>
      </c>
      <c r="B17" s="163" t="s">
        <v>175</v>
      </c>
      <c r="C17" s="163" t="s">
        <v>176</v>
      </c>
      <c r="D17" s="163" t="s">
        <v>175</v>
      </c>
      <c r="E17" s="163" t="s">
        <v>176</v>
      </c>
      <c r="F17" s="163" t="s">
        <v>175</v>
      </c>
      <c r="G17" s="163" t="s">
        <v>176</v>
      </c>
      <c r="H17" s="163" t="s">
        <v>175</v>
      </c>
      <c r="I17" s="163" t="s">
        <v>176</v>
      </c>
      <c r="J17" s="164">
        <f>SUM(Reb__Est__por_faixa_etária!D6)</f>
        <v>519</v>
      </c>
      <c r="K17" s="165" t="s">
        <v>177</v>
      </c>
      <c r="L17" s="165" t="s">
        <v>178</v>
      </c>
      <c r="M17" s="154"/>
      <c r="N17" s="329"/>
      <c r="O17" s="323" t="s">
        <v>54</v>
      </c>
      <c r="P17" s="323" t="s">
        <v>55</v>
      </c>
      <c r="Q17" s="323" t="s">
        <v>56</v>
      </c>
      <c r="R17" s="166"/>
      <c r="S17" s="331" t="s">
        <v>179</v>
      </c>
      <c r="T17" s="331"/>
    </row>
    <row r="18" spans="1:20" s="155" customFormat="1" ht="15.75">
      <c r="A18" s="167" t="s">
        <v>180</v>
      </c>
      <c r="B18" s="200">
        <v>0</v>
      </c>
      <c r="C18" s="200">
        <v>4</v>
      </c>
      <c r="D18" s="200">
        <v>10</v>
      </c>
      <c r="E18" s="200">
        <v>71</v>
      </c>
      <c r="F18" s="200">
        <v>195</v>
      </c>
      <c r="G18" s="200">
        <v>54</v>
      </c>
      <c r="H18" s="200">
        <v>65</v>
      </c>
      <c r="I18" s="200">
        <v>78</v>
      </c>
      <c r="J18" s="167"/>
      <c r="K18" s="170">
        <f>J17*0.6</f>
        <v>311.40000000000003</v>
      </c>
      <c r="L18" s="170">
        <f>J17*0.4</f>
        <v>207.60000000000002</v>
      </c>
      <c r="M18" s="154"/>
      <c r="N18" s="329"/>
      <c r="O18" s="323"/>
      <c r="P18" s="323"/>
      <c r="Q18" s="323"/>
      <c r="R18" s="166"/>
      <c r="S18" s="201">
        <f>S4</f>
        <v>2020</v>
      </c>
      <c r="T18" s="201">
        <f>T4</f>
        <v>2019</v>
      </c>
    </row>
    <row r="19" spans="1:20" s="155" customFormat="1" ht="15.75">
      <c r="A19" s="167" t="s">
        <v>181</v>
      </c>
      <c r="B19" s="200">
        <v>1064</v>
      </c>
      <c r="C19" s="200">
        <v>938</v>
      </c>
      <c r="D19" s="200">
        <v>287</v>
      </c>
      <c r="E19" s="200">
        <v>207</v>
      </c>
      <c r="F19" s="200">
        <v>208</v>
      </c>
      <c r="G19" s="200">
        <v>108</v>
      </c>
      <c r="H19" s="200">
        <v>122</v>
      </c>
      <c r="I19" s="200">
        <v>526</v>
      </c>
      <c r="J19" s="173"/>
      <c r="K19" s="174"/>
      <c r="L19" s="174"/>
      <c r="M19" s="154"/>
      <c r="N19" s="175" t="s">
        <v>67</v>
      </c>
      <c r="O19" s="176">
        <f>SUM(F18,H18,F25,H25)</f>
        <v>282</v>
      </c>
      <c r="P19" s="176">
        <f>SUM(B18,D18,B25,D25,K18)</f>
        <v>329.40000000000003</v>
      </c>
      <c r="Q19" s="177"/>
      <c r="R19" s="178"/>
      <c r="S19" s="179">
        <f>(O19+P19+O20+P20+O26+P26+O27+P27+Q27+Q26)</f>
        <v>6638.18</v>
      </c>
      <c r="T19" s="202">
        <v>7394</v>
      </c>
    </row>
    <row r="20" spans="1:20" s="155" customFormat="1" ht="15.75">
      <c r="A20" s="167" t="s">
        <v>182</v>
      </c>
      <c r="B20" s="200">
        <v>0</v>
      </c>
      <c r="C20" s="200">
        <v>0</v>
      </c>
      <c r="D20" s="200">
        <v>1</v>
      </c>
      <c r="E20" s="200">
        <v>6</v>
      </c>
      <c r="F20" s="200">
        <v>11</v>
      </c>
      <c r="G20" s="200">
        <v>0</v>
      </c>
      <c r="H20" s="200">
        <v>1</v>
      </c>
      <c r="I20" s="200">
        <v>8</v>
      </c>
      <c r="J20" s="173"/>
      <c r="K20" s="174"/>
      <c r="L20" s="174"/>
      <c r="M20" s="154"/>
      <c r="N20" s="175" t="s">
        <v>69</v>
      </c>
      <c r="O20" s="176">
        <f>SUM(G18,I18,G25,I25)</f>
        <v>384</v>
      </c>
      <c r="P20" s="176">
        <f>SUM(C18,E18,C25,E25,L18)</f>
        <v>1334.6</v>
      </c>
      <c r="Q20" s="180"/>
      <c r="R20" s="181"/>
      <c r="S20" s="182" t="s">
        <v>183</v>
      </c>
      <c r="T20" s="183">
        <f>S19-T19</f>
        <v>-755.8199999999997</v>
      </c>
    </row>
    <row r="21" spans="1:20" s="155" customFormat="1" ht="15.75">
      <c r="A21" s="167" t="s">
        <v>184</v>
      </c>
      <c r="B21" s="200">
        <v>50</v>
      </c>
      <c r="C21" s="200">
        <v>22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174"/>
      <c r="K21" s="174"/>
      <c r="L21" s="174"/>
      <c r="M21" s="154"/>
      <c r="O21" s="156"/>
      <c r="P21" s="156"/>
      <c r="Q21" s="156"/>
      <c r="R21" s="157"/>
      <c r="S21" s="184"/>
      <c r="T21" s="185"/>
    </row>
    <row r="22" spans="1:20" s="155" customFormat="1" ht="6" customHeight="1">
      <c r="A22" s="174"/>
      <c r="B22"/>
      <c r="C22"/>
      <c r="D22"/>
      <c r="E22"/>
      <c r="F22"/>
      <c r="G22"/>
      <c r="H22"/>
      <c r="I22"/>
      <c r="J22" s="174"/>
      <c r="K22" s="174"/>
      <c r="L22" s="174"/>
      <c r="M22" s="154"/>
      <c r="O22" s="156"/>
      <c r="P22" s="156"/>
      <c r="Q22" s="156"/>
      <c r="R22" s="157"/>
      <c r="S22" s="184"/>
      <c r="T22" s="185"/>
    </row>
    <row r="23" spans="1:20" s="155" customFormat="1" ht="15.75">
      <c r="A23" s="160" t="s">
        <v>46</v>
      </c>
      <c r="B23" s="327" t="s">
        <v>169</v>
      </c>
      <c r="C23" s="327"/>
      <c r="D23" s="327" t="s">
        <v>170</v>
      </c>
      <c r="E23" s="327"/>
      <c r="F23" s="328" t="s">
        <v>171</v>
      </c>
      <c r="G23" s="328"/>
      <c r="H23" s="328" t="s">
        <v>172</v>
      </c>
      <c r="I23" s="328"/>
      <c r="J23" s="203"/>
      <c r="K23" s="186"/>
      <c r="L23" s="186"/>
      <c r="M23" s="154"/>
      <c r="N23" s="329" t="s">
        <v>46</v>
      </c>
      <c r="O23" s="330" t="s">
        <v>185</v>
      </c>
      <c r="P23" s="330"/>
      <c r="Q23" s="330"/>
      <c r="R23" s="161"/>
      <c r="S23" s="322">
        <v>2019</v>
      </c>
      <c r="T23" s="322"/>
    </row>
    <row r="24" spans="1:20" s="155" customFormat="1" ht="13.5" customHeight="1">
      <c r="A24" s="162" t="s">
        <v>186</v>
      </c>
      <c r="B24" s="187" t="s">
        <v>175</v>
      </c>
      <c r="C24" s="187" t="s">
        <v>176</v>
      </c>
      <c r="D24" s="187" t="s">
        <v>175</v>
      </c>
      <c r="E24" s="187" t="s">
        <v>176</v>
      </c>
      <c r="F24" s="163" t="s">
        <v>175</v>
      </c>
      <c r="G24" s="163" t="s">
        <v>176</v>
      </c>
      <c r="H24" s="163" t="s">
        <v>175</v>
      </c>
      <c r="I24" s="163" t="s">
        <v>176</v>
      </c>
      <c r="J24" s="203"/>
      <c r="K24" s="186"/>
      <c r="L24" s="186"/>
      <c r="M24" s="154"/>
      <c r="N24" s="329"/>
      <c r="O24" s="323" t="s">
        <v>57</v>
      </c>
      <c r="P24" s="324" t="s">
        <v>187</v>
      </c>
      <c r="Q24" s="324" t="s">
        <v>59</v>
      </c>
      <c r="R24" s="188"/>
      <c r="S24" s="325" t="s">
        <v>57</v>
      </c>
      <c r="T24" s="326" t="s">
        <v>187</v>
      </c>
    </row>
    <row r="25" spans="1:24" s="155" customFormat="1" ht="15.75">
      <c r="A25" s="167" t="s">
        <v>180</v>
      </c>
      <c r="B25" s="200">
        <v>2</v>
      </c>
      <c r="C25" s="200">
        <v>370</v>
      </c>
      <c r="D25" s="200">
        <v>6</v>
      </c>
      <c r="E25" s="200">
        <v>682</v>
      </c>
      <c r="F25" s="200">
        <v>1</v>
      </c>
      <c r="G25" s="200">
        <v>130</v>
      </c>
      <c r="H25" s="200">
        <v>21</v>
      </c>
      <c r="I25" s="200">
        <v>122</v>
      </c>
      <c r="J25" s="173"/>
      <c r="K25" s="174"/>
      <c r="L25" s="174"/>
      <c r="M25" s="154"/>
      <c r="N25" s="329"/>
      <c r="O25" s="323"/>
      <c r="P25" s="323"/>
      <c r="Q25" s="324"/>
      <c r="R25" s="188"/>
      <c r="S25" s="325"/>
      <c r="T25" s="325"/>
      <c r="U25"/>
      <c r="V25"/>
      <c r="W25"/>
      <c r="X25"/>
    </row>
    <row r="26" spans="1:24" s="155" customFormat="1" ht="15.75">
      <c r="A26" s="189" t="s">
        <v>181</v>
      </c>
      <c r="B26" s="200">
        <v>247</v>
      </c>
      <c r="C26" s="200">
        <v>349</v>
      </c>
      <c r="D26" s="200">
        <v>105</v>
      </c>
      <c r="E26" s="200">
        <v>263</v>
      </c>
      <c r="F26" s="200">
        <v>158</v>
      </c>
      <c r="G26" s="200">
        <v>102</v>
      </c>
      <c r="H26" s="200">
        <v>103</v>
      </c>
      <c r="I26" s="200">
        <v>452</v>
      </c>
      <c r="J26" s="173"/>
      <c r="K26" s="174"/>
      <c r="L26" s="174"/>
      <c r="M26" s="154"/>
      <c r="N26" s="190" t="s">
        <v>67</v>
      </c>
      <c r="O26" s="176">
        <f>SUM(B19,B20,B21,B26,B27)*0.8</f>
        <v>1088.8</v>
      </c>
      <c r="P26" s="176">
        <f>SUM(D19,F19,H19,D21,F21,H21,D26,F26,H26)*0.8</f>
        <v>786.4000000000001</v>
      </c>
      <c r="Q26" s="176">
        <f>SUM(D20,F20,H20,D27,F27,H27)</f>
        <v>13</v>
      </c>
      <c r="R26" s="181"/>
      <c r="S26" s="191">
        <v>1442</v>
      </c>
      <c r="T26" s="192">
        <v>1089</v>
      </c>
      <c r="U26" s="193">
        <f>O26/S26*1-1</f>
        <v>-0.24493758668515953</v>
      </c>
      <c r="V26" s="193">
        <f>P26/T26*1-1</f>
        <v>-0.2778696051423323</v>
      </c>
      <c r="W26" s="194">
        <f>O26-S26</f>
        <v>-353.20000000000005</v>
      </c>
      <c r="X26" s="194">
        <f>P26-T26</f>
        <v>-302.5999999999999</v>
      </c>
    </row>
    <row r="27" spans="1:24" s="155" customFormat="1" ht="15.75">
      <c r="A27" s="189" t="s">
        <v>182</v>
      </c>
      <c r="B27" s="200">
        <v>0</v>
      </c>
      <c r="C27" s="200">
        <v>12</v>
      </c>
      <c r="D27" s="200">
        <v>0</v>
      </c>
      <c r="E27" s="200">
        <v>0</v>
      </c>
      <c r="F27" s="200">
        <v>0</v>
      </c>
      <c r="G27" s="200">
        <v>1</v>
      </c>
      <c r="H27" s="200">
        <v>0</v>
      </c>
      <c r="I27" s="200">
        <v>64</v>
      </c>
      <c r="J27" s="173"/>
      <c r="K27" s="174"/>
      <c r="L27" s="174"/>
      <c r="M27" s="154"/>
      <c r="N27" s="190" t="s">
        <v>69</v>
      </c>
      <c r="O27" s="176">
        <f>SUM(C19,C20,C21,C26,C27)*0.78</f>
        <v>1030.38</v>
      </c>
      <c r="P27" s="176">
        <f>SUM(E19,G19,I19,E20,E21,G21,I21,E26,G26,I26,E27)*0.8</f>
        <v>1331.2</v>
      </c>
      <c r="Q27" s="176">
        <f>SUM(G20,I20,G27,I27)*0.8</f>
        <v>58.400000000000006</v>
      </c>
      <c r="R27" s="181"/>
      <c r="S27" s="195">
        <v>1279</v>
      </c>
      <c r="T27" s="195">
        <v>2389</v>
      </c>
      <c r="U27" s="193">
        <f>O27/S27*1-1</f>
        <v>-0.19438623924941356</v>
      </c>
      <c r="V27" s="193">
        <f>P27/T27*1-1</f>
        <v>-0.4427794056090414</v>
      </c>
      <c r="W27" s="194">
        <f>O27-S27</f>
        <v>-248.6199999999999</v>
      </c>
      <c r="X27" s="194">
        <f>P27-T27</f>
        <v>-1057.8</v>
      </c>
    </row>
    <row r="28" spans="1:20" ht="15.75">
      <c r="A28" s="196"/>
      <c r="J28" s="196"/>
      <c r="K28" s="196"/>
      <c r="L28" s="196"/>
      <c r="M28" s="197"/>
      <c r="N28" s="196"/>
      <c r="O28" s="196"/>
      <c r="P28" s="196"/>
      <c r="Q28" s="196"/>
      <c r="R28" s="196"/>
      <c r="S28" s="198"/>
      <c r="T28" s="199"/>
    </row>
    <row r="29" spans="1:20" s="155" customFormat="1" ht="16.5" customHeight="1">
      <c r="A29" s="152" t="s">
        <v>80</v>
      </c>
      <c r="B29" s="153"/>
      <c r="C29" s="153"/>
      <c r="D29" s="153"/>
      <c r="E29" s="153"/>
      <c r="F29" s="153"/>
      <c r="G29" s="153"/>
      <c r="H29" s="153"/>
      <c r="I29" s="153"/>
      <c r="J29" s="332" t="s">
        <v>167</v>
      </c>
      <c r="K29" s="333" t="s">
        <v>168</v>
      </c>
      <c r="L29" s="333"/>
      <c r="M29" s="154"/>
      <c r="O29" s="156"/>
      <c r="P29" s="156"/>
      <c r="Q29" s="156"/>
      <c r="R29" s="157"/>
      <c r="S29" s="158"/>
      <c r="T29" s="159"/>
    </row>
    <row r="30" spans="1:20" s="155" customFormat="1" ht="14.25" customHeight="1">
      <c r="A30" s="160" t="s">
        <v>46</v>
      </c>
      <c r="B30" s="328" t="s">
        <v>169</v>
      </c>
      <c r="C30" s="328"/>
      <c r="D30" s="328" t="s">
        <v>170</v>
      </c>
      <c r="E30" s="328"/>
      <c r="F30" s="328" t="s">
        <v>171</v>
      </c>
      <c r="G30" s="328"/>
      <c r="H30" s="328" t="s">
        <v>172</v>
      </c>
      <c r="I30" s="328"/>
      <c r="J30" s="332"/>
      <c r="K30" s="334" t="s">
        <v>173</v>
      </c>
      <c r="L30" s="334"/>
      <c r="M30" s="154"/>
      <c r="N30" s="329" t="s">
        <v>46</v>
      </c>
      <c r="O30" s="330" t="s">
        <v>47</v>
      </c>
      <c r="P30" s="330"/>
      <c r="Q30" s="330"/>
      <c r="R30" s="161"/>
      <c r="S30" s="331" t="s">
        <v>131</v>
      </c>
      <c r="T30" s="331"/>
    </row>
    <row r="31" spans="1:20" s="155" customFormat="1" ht="15.75" customHeight="1">
      <c r="A31" s="162" t="s">
        <v>174</v>
      </c>
      <c r="B31" s="163" t="s">
        <v>175</v>
      </c>
      <c r="C31" s="163" t="s">
        <v>176</v>
      </c>
      <c r="D31" s="163" t="s">
        <v>175</v>
      </c>
      <c r="E31" s="163" t="s">
        <v>176</v>
      </c>
      <c r="F31" s="163" t="s">
        <v>175</v>
      </c>
      <c r="G31" s="163" t="s">
        <v>176</v>
      </c>
      <c r="H31" s="163" t="s">
        <v>175</v>
      </c>
      <c r="I31" s="163" t="s">
        <v>176</v>
      </c>
      <c r="J31" s="164">
        <f>SUM(Reb__Est__por_faixa_etária!D7)</f>
        <v>487</v>
      </c>
      <c r="K31" s="165" t="s">
        <v>177</v>
      </c>
      <c r="L31" s="165" t="s">
        <v>178</v>
      </c>
      <c r="M31" s="154"/>
      <c r="N31" s="329"/>
      <c r="O31" s="323" t="s">
        <v>54</v>
      </c>
      <c r="P31" s="323" t="s">
        <v>55</v>
      </c>
      <c r="Q31" s="323" t="s">
        <v>56</v>
      </c>
      <c r="R31" s="166"/>
      <c r="S31" s="331" t="s">
        <v>179</v>
      </c>
      <c r="T31" s="331"/>
    </row>
    <row r="32" spans="1:20" s="155" customFormat="1" ht="15.75">
      <c r="A32" s="167" t="s">
        <v>180</v>
      </c>
      <c r="B32" s="200">
        <v>0</v>
      </c>
      <c r="C32" s="200">
        <v>1</v>
      </c>
      <c r="D32" s="200">
        <v>9</v>
      </c>
      <c r="E32" s="200">
        <v>13</v>
      </c>
      <c r="F32" s="200">
        <v>47</v>
      </c>
      <c r="G32" s="200">
        <v>30</v>
      </c>
      <c r="H32" s="200">
        <v>51</v>
      </c>
      <c r="I32" s="200">
        <v>98</v>
      </c>
      <c r="J32" s="167"/>
      <c r="K32" s="170">
        <f>J31*0.6</f>
        <v>292.20000000000005</v>
      </c>
      <c r="L32" s="170">
        <f>J31*0.4</f>
        <v>194.8</v>
      </c>
      <c r="M32" s="154"/>
      <c r="N32" s="329"/>
      <c r="O32" s="323"/>
      <c r="P32" s="323"/>
      <c r="Q32" s="323"/>
      <c r="R32" s="166"/>
      <c r="S32" s="201">
        <f>S18</f>
        <v>2020</v>
      </c>
      <c r="T32" s="201">
        <f>T18</f>
        <v>2019</v>
      </c>
    </row>
    <row r="33" spans="1:20" s="155" customFormat="1" ht="15.75">
      <c r="A33" s="167" t="s">
        <v>181</v>
      </c>
      <c r="B33" s="200">
        <v>1932</v>
      </c>
      <c r="C33" s="200">
        <v>1091</v>
      </c>
      <c r="D33" s="200">
        <v>524</v>
      </c>
      <c r="E33" s="200">
        <v>296</v>
      </c>
      <c r="F33" s="200">
        <v>140</v>
      </c>
      <c r="G33" s="200">
        <v>103</v>
      </c>
      <c r="H33" s="200">
        <v>94</v>
      </c>
      <c r="I33" s="200">
        <v>1195</v>
      </c>
      <c r="J33" s="173"/>
      <c r="K33" s="174"/>
      <c r="L33" s="174"/>
      <c r="M33" s="154"/>
      <c r="N33" s="175" t="s">
        <v>67</v>
      </c>
      <c r="O33" s="176">
        <f>SUM(F32,H32,F39,H39)</f>
        <v>98</v>
      </c>
      <c r="P33" s="176">
        <f>SUM(B32,D32,B39,D39,K32)</f>
        <v>301.20000000000005</v>
      </c>
      <c r="Q33" s="177"/>
      <c r="R33" s="178"/>
      <c r="S33" s="179">
        <f>(O33+P33+O34+P34+O40+P40+O41+P41+Q41+Q40)</f>
        <v>6846.580000000001</v>
      </c>
      <c r="T33" s="202">
        <v>8166</v>
      </c>
    </row>
    <row r="34" spans="1:20" s="155" customFormat="1" ht="15.75">
      <c r="A34" s="167" t="s">
        <v>182</v>
      </c>
      <c r="B34" s="200">
        <v>0</v>
      </c>
      <c r="C34" s="200">
        <v>0</v>
      </c>
      <c r="D34" s="200">
        <v>1</v>
      </c>
      <c r="E34" s="200">
        <v>0</v>
      </c>
      <c r="F34" s="200">
        <v>0</v>
      </c>
      <c r="G34" s="200">
        <v>2</v>
      </c>
      <c r="H34" s="200">
        <v>0</v>
      </c>
      <c r="I34" s="200">
        <v>32</v>
      </c>
      <c r="J34" s="173"/>
      <c r="K34" s="174"/>
      <c r="L34" s="174"/>
      <c r="M34" s="154"/>
      <c r="N34" s="175" t="s">
        <v>69</v>
      </c>
      <c r="O34" s="176">
        <f>SUM(G32,I32,G39,I39)</f>
        <v>128</v>
      </c>
      <c r="P34" s="176">
        <f>SUM(C32,E32,C39,E39,L32)</f>
        <v>208.8</v>
      </c>
      <c r="Q34" s="180"/>
      <c r="R34" s="181"/>
      <c r="S34" s="182" t="s">
        <v>183</v>
      </c>
      <c r="T34" s="183">
        <f>S33-T33</f>
        <v>-1319.4199999999992</v>
      </c>
    </row>
    <row r="35" spans="1:20" s="155" customFormat="1" ht="15.75">
      <c r="A35" s="167" t="s">
        <v>184</v>
      </c>
      <c r="B35" s="200">
        <v>5</v>
      </c>
      <c r="C35" s="200">
        <v>15</v>
      </c>
      <c r="D35" s="200">
        <v>0</v>
      </c>
      <c r="E35" s="200">
        <v>18</v>
      </c>
      <c r="F35" s="200">
        <v>0</v>
      </c>
      <c r="G35" s="200">
        <v>0</v>
      </c>
      <c r="H35" s="200">
        <v>0</v>
      </c>
      <c r="I35" s="200">
        <v>0</v>
      </c>
      <c r="J35" s="173"/>
      <c r="K35" s="174"/>
      <c r="L35" s="174"/>
      <c r="M35" s="154"/>
      <c r="O35" s="156"/>
      <c r="P35" s="156"/>
      <c r="Q35" s="156"/>
      <c r="R35" s="157"/>
      <c r="S35" s="184"/>
      <c r="T35" s="185"/>
    </row>
    <row r="36" spans="1:20" s="155" customFormat="1" ht="6" customHeight="1">
      <c r="A36" s="174"/>
      <c r="B36"/>
      <c r="C36"/>
      <c r="D36"/>
      <c r="E36"/>
      <c r="F36"/>
      <c r="G36"/>
      <c r="H36"/>
      <c r="I36"/>
      <c r="J36" s="174"/>
      <c r="K36" s="174"/>
      <c r="L36" s="174"/>
      <c r="M36" s="154"/>
      <c r="O36" s="156"/>
      <c r="P36" s="156"/>
      <c r="Q36" s="156"/>
      <c r="R36" s="157"/>
      <c r="S36" s="184"/>
      <c r="T36" s="185"/>
    </row>
    <row r="37" spans="1:20" s="155" customFormat="1" ht="15.75">
      <c r="A37" s="160" t="s">
        <v>46</v>
      </c>
      <c r="B37" s="327" t="s">
        <v>169</v>
      </c>
      <c r="C37" s="327"/>
      <c r="D37" s="327" t="s">
        <v>170</v>
      </c>
      <c r="E37" s="327"/>
      <c r="F37" s="328" t="s">
        <v>171</v>
      </c>
      <c r="G37" s="328"/>
      <c r="H37" s="328" t="s">
        <v>172</v>
      </c>
      <c r="I37" s="328"/>
      <c r="J37" s="186"/>
      <c r="K37" s="186"/>
      <c r="L37" s="186"/>
      <c r="M37" s="154"/>
      <c r="N37" s="329" t="s">
        <v>46</v>
      </c>
      <c r="O37" s="330" t="s">
        <v>185</v>
      </c>
      <c r="P37" s="330"/>
      <c r="Q37" s="330"/>
      <c r="R37" s="161"/>
      <c r="S37" s="322">
        <v>2019</v>
      </c>
      <c r="T37" s="322"/>
    </row>
    <row r="38" spans="1:20" s="155" customFormat="1" ht="13.5" customHeight="1">
      <c r="A38" s="162" t="s">
        <v>186</v>
      </c>
      <c r="B38" s="187" t="s">
        <v>175</v>
      </c>
      <c r="C38" s="187" t="s">
        <v>176</v>
      </c>
      <c r="D38" s="187" t="s">
        <v>175</v>
      </c>
      <c r="E38" s="187" t="s">
        <v>176</v>
      </c>
      <c r="F38" s="163" t="s">
        <v>175</v>
      </c>
      <c r="G38" s="163" t="s">
        <v>176</v>
      </c>
      <c r="H38" s="163" t="s">
        <v>175</v>
      </c>
      <c r="I38" s="163" t="s">
        <v>176</v>
      </c>
      <c r="J38" s="186"/>
      <c r="K38" s="186"/>
      <c r="L38" s="186"/>
      <c r="M38" s="154"/>
      <c r="N38" s="329"/>
      <c r="O38" s="323" t="s">
        <v>57</v>
      </c>
      <c r="P38" s="324" t="s">
        <v>187</v>
      </c>
      <c r="Q38" s="324" t="s">
        <v>59</v>
      </c>
      <c r="R38" s="188"/>
      <c r="S38" s="325" t="s">
        <v>57</v>
      </c>
      <c r="T38" s="326" t="s">
        <v>187</v>
      </c>
    </row>
    <row r="39" spans="1:24" s="155" customFormat="1" ht="15.75">
      <c r="A39" s="167" t="s">
        <v>180</v>
      </c>
      <c r="B39" s="204"/>
      <c r="C39" s="204"/>
      <c r="D39" s="204"/>
      <c r="E39" s="204"/>
      <c r="F39" s="205"/>
      <c r="G39" s="205"/>
      <c r="H39" s="205"/>
      <c r="I39" s="205"/>
      <c r="J39" s="173"/>
      <c r="K39" s="174"/>
      <c r="L39" s="174"/>
      <c r="M39" s="154"/>
      <c r="N39" s="329"/>
      <c r="O39" s="323"/>
      <c r="P39" s="323"/>
      <c r="Q39" s="324"/>
      <c r="R39" s="188"/>
      <c r="S39" s="325"/>
      <c r="T39" s="325"/>
      <c r="U39"/>
      <c r="V39"/>
      <c r="W39"/>
      <c r="X39"/>
    </row>
    <row r="40" spans="1:24" s="155" customFormat="1" ht="15.75">
      <c r="A40" s="189" t="s">
        <v>181</v>
      </c>
      <c r="B40" s="200">
        <v>1014</v>
      </c>
      <c r="C40" s="200">
        <v>510</v>
      </c>
      <c r="D40" s="200">
        <v>243</v>
      </c>
      <c r="E40" s="200">
        <v>195</v>
      </c>
      <c r="F40" s="200">
        <v>78</v>
      </c>
      <c r="G40" s="200">
        <v>84</v>
      </c>
      <c r="H40" s="200">
        <v>63</v>
      </c>
      <c r="I40" s="200">
        <v>842</v>
      </c>
      <c r="J40" s="173"/>
      <c r="K40" s="174"/>
      <c r="L40" s="174"/>
      <c r="M40" s="154"/>
      <c r="N40" s="190" t="s">
        <v>67</v>
      </c>
      <c r="O40" s="176">
        <f>SUM(B33,B34,B35,B40,B41)*0.53</f>
        <v>1564.03</v>
      </c>
      <c r="P40" s="176">
        <f>SUM(D33,F33,H33,D35,F35,H35,D40,F40,H40)*0.9</f>
        <v>1027.8</v>
      </c>
      <c r="Q40" s="176">
        <f>SUM(D34,F34,H34,D41,F41,H41)</f>
        <v>4</v>
      </c>
      <c r="R40" s="181"/>
      <c r="S40" s="191">
        <v>1991</v>
      </c>
      <c r="T40" s="192">
        <v>1565</v>
      </c>
      <c r="U40" s="193">
        <f>O40/S40*1-1</f>
        <v>-0.2144500251130086</v>
      </c>
      <c r="V40" s="193">
        <f>P40/T40*1-1</f>
        <v>-0.34325878594249204</v>
      </c>
      <c r="W40" s="194">
        <f>O40-S40</f>
        <v>-426.97</v>
      </c>
      <c r="X40" s="194">
        <f>P40-T40</f>
        <v>-537.2</v>
      </c>
    </row>
    <row r="41" spans="1:24" s="155" customFormat="1" ht="15.75">
      <c r="A41" s="189" t="s">
        <v>182</v>
      </c>
      <c r="B41" s="200">
        <v>0</v>
      </c>
      <c r="C41" s="200">
        <v>23</v>
      </c>
      <c r="D41" s="200">
        <v>0</v>
      </c>
      <c r="E41" s="200">
        <v>54</v>
      </c>
      <c r="F41" s="200">
        <v>1</v>
      </c>
      <c r="G41" s="200">
        <v>24</v>
      </c>
      <c r="H41" s="200">
        <v>2</v>
      </c>
      <c r="I41" s="200">
        <v>256</v>
      </c>
      <c r="J41" s="173"/>
      <c r="K41" s="174"/>
      <c r="L41" s="174"/>
      <c r="M41" s="154"/>
      <c r="N41" s="190" t="s">
        <v>69</v>
      </c>
      <c r="O41" s="176">
        <f>SUM(C33,C34,C35,C40,C41)*0.65</f>
        <v>1065.3500000000001</v>
      </c>
      <c r="P41" s="176">
        <f>SUM(E33,G33,I33,E34,E35,G35,I35,E40,G40,I40,E41)*0.8</f>
        <v>2229.6</v>
      </c>
      <c r="Q41" s="176">
        <f>SUM(G34,I34,G41,I41)*0.7</f>
        <v>219.79999999999998</v>
      </c>
      <c r="R41" s="181"/>
      <c r="S41" s="195">
        <v>1368</v>
      </c>
      <c r="T41" s="195">
        <v>2809</v>
      </c>
      <c r="U41" s="193">
        <f>O41/S41*1-1</f>
        <v>-0.22123538011695898</v>
      </c>
      <c r="V41" s="193">
        <f>P41/T41*1-1</f>
        <v>-0.20626557493770026</v>
      </c>
      <c r="W41" s="194">
        <f>O41-S41</f>
        <v>-302.64999999999986</v>
      </c>
      <c r="X41" s="194">
        <f>P41-T41</f>
        <v>-579.4000000000001</v>
      </c>
    </row>
    <row r="42" spans="1:20" ht="15.75">
      <c r="A42" s="196"/>
      <c r="J42" s="196"/>
      <c r="K42" s="196"/>
      <c r="L42" s="196"/>
      <c r="M42" s="197"/>
      <c r="N42" s="196"/>
      <c r="O42" s="196"/>
      <c r="P42" s="196"/>
      <c r="Q42" s="196"/>
      <c r="R42" s="196"/>
      <c r="S42" s="198"/>
      <c r="T42" s="199"/>
    </row>
    <row r="43" spans="1:20" s="155" customFormat="1" ht="16.5" customHeight="1">
      <c r="A43" s="152" t="s">
        <v>82</v>
      </c>
      <c r="B43" s="153"/>
      <c r="C43" s="153"/>
      <c r="D43" s="153"/>
      <c r="E43" s="153"/>
      <c r="F43" s="153"/>
      <c r="G43" s="153"/>
      <c r="H43" s="153"/>
      <c r="I43" s="153"/>
      <c r="J43" s="332" t="s">
        <v>167</v>
      </c>
      <c r="K43" s="333" t="s">
        <v>168</v>
      </c>
      <c r="L43" s="333"/>
      <c r="M43" s="154"/>
      <c r="O43" s="156"/>
      <c r="P43" s="156"/>
      <c r="Q43" s="156"/>
      <c r="R43" s="157"/>
      <c r="S43" s="158"/>
      <c r="T43" s="159"/>
    </row>
    <row r="44" spans="1:20" s="155" customFormat="1" ht="14.25" customHeight="1">
      <c r="A44" s="160" t="s">
        <v>46</v>
      </c>
      <c r="B44" s="328" t="s">
        <v>169</v>
      </c>
      <c r="C44" s="328"/>
      <c r="D44" s="328" t="s">
        <v>170</v>
      </c>
      <c r="E44" s="328"/>
      <c r="F44" s="328" t="s">
        <v>171</v>
      </c>
      <c r="G44" s="328"/>
      <c r="H44" s="328" t="s">
        <v>172</v>
      </c>
      <c r="I44" s="328"/>
      <c r="J44" s="332"/>
      <c r="K44" s="334" t="s">
        <v>173</v>
      </c>
      <c r="L44" s="334"/>
      <c r="M44" s="154"/>
      <c r="N44" s="329" t="s">
        <v>46</v>
      </c>
      <c r="O44" s="330" t="s">
        <v>47</v>
      </c>
      <c r="P44" s="330"/>
      <c r="Q44" s="330"/>
      <c r="R44" s="161"/>
      <c r="S44" s="331" t="s">
        <v>131</v>
      </c>
      <c r="T44" s="331"/>
    </row>
    <row r="45" spans="1:20" s="155" customFormat="1" ht="15.75" customHeight="1">
      <c r="A45" s="162" t="s">
        <v>174</v>
      </c>
      <c r="B45" s="163" t="s">
        <v>175</v>
      </c>
      <c r="C45" s="163" t="s">
        <v>176</v>
      </c>
      <c r="D45" s="163" t="s">
        <v>175</v>
      </c>
      <c r="E45" s="163" t="s">
        <v>176</v>
      </c>
      <c r="F45" s="163" t="s">
        <v>175</v>
      </c>
      <c r="G45" s="163" t="s">
        <v>176</v>
      </c>
      <c r="H45" s="163" t="s">
        <v>175</v>
      </c>
      <c r="I45" s="163" t="s">
        <v>176</v>
      </c>
      <c r="J45" s="164">
        <f>SUM(Reb__Est__por_faixa_etária!D8)</f>
        <v>601</v>
      </c>
      <c r="K45" s="165" t="s">
        <v>177</v>
      </c>
      <c r="L45" s="165" t="s">
        <v>178</v>
      </c>
      <c r="M45" s="154"/>
      <c r="N45" s="329"/>
      <c r="O45" s="323" t="s">
        <v>54</v>
      </c>
      <c r="P45" s="323" t="s">
        <v>55</v>
      </c>
      <c r="Q45" s="323" t="s">
        <v>56</v>
      </c>
      <c r="R45" s="166"/>
      <c r="S45" s="331" t="s">
        <v>179</v>
      </c>
      <c r="T45" s="331"/>
    </row>
    <row r="46" spans="1:20" s="155" customFormat="1" ht="15.75">
      <c r="A46" s="167" t="s">
        <v>180</v>
      </c>
      <c r="B46" s="200">
        <v>30</v>
      </c>
      <c r="C46" s="200">
        <v>11</v>
      </c>
      <c r="D46" s="200">
        <v>84</v>
      </c>
      <c r="E46" s="200">
        <v>36</v>
      </c>
      <c r="F46" s="200">
        <v>70</v>
      </c>
      <c r="G46" s="200">
        <v>34</v>
      </c>
      <c r="H46" s="200">
        <v>38</v>
      </c>
      <c r="I46" s="200">
        <v>216</v>
      </c>
      <c r="J46" s="167"/>
      <c r="K46" s="170">
        <f>J45*0.6</f>
        <v>360.6000000000001</v>
      </c>
      <c r="L46" s="170">
        <f>J45*0.4</f>
        <v>240.4</v>
      </c>
      <c r="M46" s="154"/>
      <c r="N46" s="329"/>
      <c r="O46" s="323"/>
      <c r="P46" s="323"/>
      <c r="Q46" s="323"/>
      <c r="R46" s="166"/>
      <c r="S46" s="201">
        <f>S32</f>
        <v>2020</v>
      </c>
      <c r="T46" s="201">
        <f>T32</f>
        <v>2019</v>
      </c>
    </row>
    <row r="47" spans="1:20" s="155" customFormat="1" ht="15.75">
      <c r="A47" s="167" t="s">
        <v>181</v>
      </c>
      <c r="B47" s="200">
        <v>4027</v>
      </c>
      <c r="C47" s="200">
        <v>1976</v>
      </c>
      <c r="D47" s="200">
        <v>1928</v>
      </c>
      <c r="E47" s="200">
        <v>860</v>
      </c>
      <c r="F47" s="200">
        <v>396</v>
      </c>
      <c r="G47" s="200">
        <v>364</v>
      </c>
      <c r="H47" s="200">
        <v>168</v>
      </c>
      <c r="I47" s="200">
        <v>1273</v>
      </c>
      <c r="J47" s="173"/>
      <c r="K47" s="174"/>
      <c r="L47" s="174"/>
      <c r="M47" s="154"/>
      <c r="N47" s="175" t="s">
        <v>67</v>
      </c>
      <c r="O47" s="176">
        <f>SUM(F46,H46,F53,H53)</f>
        <v>108</v>
      </c>
      <c r="P47" s="176">
        <f>SUM(B46,D46,B53,D53,K46)</f>
        <v>474.6000000000001</v>
      </c>
      <c r="Q47" s="177"/>
      <c r="R47" s="178"/>
      <c r="S47" s="179">
        <f>(O47+P47+O48+P48+O54+P54+O55+P55+Q55+Q54)</f>
        <v>8214.710000000001</v>
      </c>
      <c r="T47" s="202">
        <v>9081</v>
      </c>
    </row>
    <row r="48" spans="1:20" s="155" customFormat="1" ht="15.75">
      <c r="A48" s="167" t="s">
        <v>182</v>
      </c>
      <c r="B48" s="200">
        <v>0</v>
      </c>
      <c r="C48" s="200">
        <v>0</v>
      </c>
      <c r="D48" s="200">
        <v>0</v>
      </c>
      <c r="E48" s="200">
        <v>3</v>
      </c>
      <c r="F48" s="200">
        <v>0</v>
      </c>
      <c r="G48" s="200">
        <v>2</v>
      </c>
      <c r="H48" s="200">
        <v>0</v>
      </c>
      <c r="I48" s="200">
        <v>77</v>
      </c>
      <c r="J48" s="173"/>
      <c r="K48" s="174"/>
      <c r="L48" s="174"/>
      <c r="M48" s="154"/>
      <c r="N48" s="175" t="s">
        <v>69</v>
      </c>
      <c r="O48" s="176">
        <f>SUM(G46,I46,G53,I53)</f>
        <v>250</v>
      </c>
      <c r="P48" s="176">
        <f>SUM(C46,E46,C53,E53,L46)</f>
        <v>287.4</v>
      </c>
      <c r="Q48" s="180"/>
      <c r="R48" s="181"/>
      <c r="S48" s="182" t="s">
        <v>183</v>
      </c>
      <c r="T48" s="183">
        <f>S47-T47</f>
        <v>-866.289999999999</v>
      </c>
    </row>
    <row r="49" spans="1:20" s="155" customFormat="1" ht="15.75">
      <c r="A49" s="167" t="s">
        <v>184</v>
      </c>
      <c r="B49" s="200">
        <v>187</v>
      </c>
      <c r="C49" s="200">
        <v>53</v>
      </c>
      <c r="D49" s="200">
        <v>35</v>
      </c>
      <c r="E49" s="200">
        <v>6</v>
      </c>
      <c r="F49" s="200">
        <v>0</v>
      </c>
      <c r="G49" s="200">
        <v>0</v>
      </c>
      <c r="H49" s="200">
        <v>3</v>
      </c>
      <c r="I49" s="200">
        <v>13</v>
      </c>
      <c r="J49" s="173"/>
      <c r="K49" s="174"/>
      <c r="L49" s="174"/>
      <c r="M49" s="154"/>
      <c r="O49" s="156"/>
      <c r="P49" s="156"/>
      <c r="Q49" s="156"/>
      <c r="R49" s="157"/>
      <c r="S49" s="184"/>
      <c r="T49" s="185"/>
    </row>
    <row r="50" spans="1:20" s="155" customFormat="1" ht="6" customHeight="1">
      <c r="A50" s="174"/>
      <c r="B50"/>
      <c r="C50"/>
      <c r="D50"/>
      <c r="E50"/>
      <c r="F50"/>
      <c r="G50"/>
      <c r="H50"/>
      <c r="I50"/>
      <c r="J50" s="174"/>
      <c r="K50" s="174"/>
      <c r="L50" s="174"/>
      <c r="M50" s="154"/>
      <c r="O50" s="156"/>
      <c r="P50" s="156"/>
      <c r="Q50" s="156"/>
      <c r="R50" s="157"/>
      <c r="S50" s="184"/>
      <c r="T50" s="185"/>
    </row>
    <row r="51" spans="1:20" s="155" customFormat="1" ht="15.75">
      <c r="A51" s="160" t="s">
        <v>46</v>
      </c>
      <c r="B51" s="327" t="s">
        <v>169</v>
      </c>
      <c r="C51" s="327"/>
      <c r="D51" s="327" t="s">
        <v>170</v>
      </c>
      <c r="E51" s="327"/>
      <c r="F51" s="328" t="s">
        <v>171</v>
      </c>
      <c r="G51" s="328"/>
      <c r="H51" s="328" t="s">
        <v>172</v>
      </c>
      <c r="I51" s="328"/>
      <c r="J51" s="186"/>
      <c r="K51" s="186"/>
      <c r="L51" s="186"/>
      <c r="M51" s="154"/>
      <c r="N51" s="329" t="s">
        <v>46</v>
      </c>
      <c r="O51" s="330" t="s">
        <v>185</v>
      </c>
      <c r="P51" s="330"/>
      <c r="Q51" s="330"/>
      <c r="R51" s="161"/>
      <c r="S51" s="322">
        <v>2019</v>
      </c>
      <c r="T51" s="322"/>
    </row>
    <row r="52" spans="1:20" s="155" customFormat="1" ht="13.5" customHeight="1">
      <c r="A52" s="162" t="s">
        <v>186</v>
      </c>
      <c r="B52" s="187" t="s">
        <v>175</v>
      </c>
      <c r="C52" s="187" t="s">
        <v>176</v>
      </c>
      <c r="D52" s="187" t="s">
        <v>175</v>
      </c>
      <c r="E52" s="187" t="s">
        <v>176</v>
      </c>
      <c r="F52" s="163" t="s">
        <v>175</v>
      </c>
      <c r="G52" s="163" t="s">
        <v>176</v>
      </c>
      <c r="H52" s="163" t="s">
        <v>175</v>
      </c>
      <c r="I52" s="163" t="s">
        <v>176</v>
      </c>
      <c r="J52" s="186"/>
      <c r="K52" s="186"/>
      <c r="L52" s="186"/>
      <c r="M52" s="154"/>
      <c r="N52" s="329"/>
      <c r="O52" s="323" t="s">
        <v>57</v>
      </c>
      <c r="P52" s="324" t="s">
        <v>187</v>
      </c>
      <c r="Q52" s="324" t="s">
        <v>59</v>
      </c>
      <c r="R52" s="188"/>
      <c r="S52" s="325" t="s">
        <v>57</v>
      </c>
      <c r="T52" s="326" t="s">
        <v>187</v>
      </c>
    </row>
    <row r="53" spans="1:24" s="155" customFormat="1" ht="15.75">
      <c r="A53" s="167" t="s">
        <v>180</v>
      </c>
      <c r="B53" s="204"/>
      <c r="C53" s="204"/>
      <c r="D53" s="204"/>
      <c r="E53" s="204"/>
      <c r="F53" s="205"/>
      <c r="G53" s="205"/>
      <c r="H53" s="205"/>
      <c r="I53" s="205"/>
      <c r="J53" s="173"/>
      <c r="K53" s="174"/>
      <c r="L53" s="174"/>
      <c r="M53" s="154"/>
      <c r="N53" s="329"/>
      <c r="O53" s="323"/>
      <c r="P53" s="323"/>
      <c r="Q53" s="324"/>
      <c r="R53" s="188"/>
      <c r="S53" s="325"/>
      <c r="T53" s="325"/>
      <c r="U53"/>
      <c r="V53"/>
      <c r="W53"/>
      <c r="X53"/>
    </row>
    <row r="54" spans="1:24" s="155" customFormat="1" ht="15.75">
      <c r="A54" s="189" t="s">
        <v>181</v>
      </c>
      <c r="B54" s="200">
        <v>593</v>
      </c>
      <c r="C54" s="200">
        <v>517</v>
      </c>
      <c r="D54" s="200">
        <v>354</v>
      </c>
      <c r="E54" s="200">
        <v>267</v>
      </c>
      <c r="F54" s="200">
        <v>68</v>
      </c>
      <c r="G54" s="200">
        <v>155</v>
      </c>
      <c r="H54" s="200">
        <v>94</v>
      </c>
      <c r="I54" s="200">
        <v>1068</v>
      </c>
      <c r="J54" s="173"/>
      <c r="K54" s="174"/>
      <c r="L54" s="174"/>
      <c r="M54" s="154"/>
      <c r="N54" s="190" t="s">
        <v>67</v>
      </c>
      <c r="O54" s="176">
        <f>SUM(B47,B48,B49,B54,B55)*0.36</f>
        <v>1730.52</v>
      </c>
      <c r="P54" s="176">
        <f>SUM(D47,F47,H47,D49,F49,H49,D54,F54,H54)*0.45</f>
        <v>1370.7</v>
      </c>
      <c r="Q54" s="176">
        <f>SUM(D48,F48,H48,D55,F55,H55)</f>
        <v>0</v>
      </c>
      <c r="R54" s="181"/>
      <c r="S54" s="191">
        <v>2117</v>
      </c>
      <c r="T54" s="192">
        <v>1684</v>
      </c>
      <c r="U54" s="193">
        <f>O54/S54*1-1</f>
        <v>-0.18256022673594707</v>
      </c>
      <c r="V54" s="193">
        <f>P54/T54*1-1</f>
        <v>-0.1860451306413301</v>
      </c>
      <c r="W54" s="194">
        <f>O54-S54</f>
        <v>-386.48</v>
      </c>
      <c r="X54" s="194">
        <f>P54-T54</f>
        <v>-313.29999999999995</v>
      </c>
    </row>
    <row r="55" spans="1:24" s="155" customFormat="1" ht="15.75">
      <c r="A55" s="189" t="s">
        <v>182</v>
      </c>
      <c r="B55" s="200">
        <v>0</v>
      </c>
      <c r="C55" s="200">
        <v>0</v>
      </c>
      <c r="D55" s="200">
        <v>0</v>
      </c>
      <c r="E55" s="200">
        <v>0</v>
      </c>
      <c r="F55" s="200">
        <v>0</v>
      </c>
      <c r="G55" s="200">
        <v>0</v>
      </c>
      <c r="H55" s="200">
        <v>0</v>
      </c>
      <c r="I55" s="200">
        <v>94</v>
      </c>
      <c r="J55" s="173"/>
      <c r="K55" s="174"/>
      <c r="L55" s="174"/>
      <c r="M55" s="154"/>
      <c r="N55" s="190" t="s">
        <v>69</v>
      </c>
      <c r="O55" s="176">
        <f>SUM(C47,C48,C49,C54,C55)*0.34</f>
        <v>865.6400000000001</v>
      </c>
      <c r="P55" s="176">
        <f>SUM(E47,G47,I47,E48,E49,G49,I49,E54,G54,I54,E55)*0.75</f>
        <v>3006.75</v>
      </c>
      <c r="Q55" s="176">
        <f>SUM(G48,I48,G55,I55)*0.7</f>
        <v>121.1</v>
      </c>
      <c r="R55" s="181"/>
      <c r="S55" s="195">
        <v>1074</v>
      </c>
      <c r="T55" s="195">
        <v>3691</v>
      </c>
      <c r="U55" s="193">
        <f>O55/S55*1-1</f>
        <v>-0.19400372439478575</v>
      </c>
      <c r="V55" s="193">
        <f>P55/T55*1-1</f>
        <v>-0.18538336494175023</v>
      </c>
      <c r="W55" s="194">
        <f>O55-S55</f>
        <v>-208.3599999999999</v>
      </c>
      <c r="X55" s="194">
        <f>P55-T55</f>
        <v>-684.25</v>
      </c>
    </row>
    <row r="56" spans="1:20" ht="15.75">
      <c r="A56" s="196"/>
      <c r="J56" s="196"/>
      <c r="K56" s="196"/>
      <c r="L56" s="196"/>
      <c r="M56" s="197"/>
      <c r="N56" s="196"/>
      <c r="O56" s="196"/>
      <c r="P56" s="196"/>
      <c r="Q56" s="196"/>
      <c r="R56" s="196"/>
      <c r="S56" s="198"/>
      <c r="T56" s="199"/>
    </row>
    <row r="57" spans="1:20" s="155" customFormat="1" ht="16.5" customHeight="1">
      <c r="A57" s="152" t="s">
        <v>84</v>
      </c>
      <c r="B57" s="153"/>
      <c r="C57" s="153"/>
      <c r="D57" s="153"/>
      <c r="E57" s="153"/>
      <c r="F57" s="153"/>
      <c r="G57" s="153"/>
      <c r="H57" s="153"/>
      <c r="I57" s="153"/>
      <c r="J57" s="332" t="s">
        <v>167</v>
      </c>
      <c r="K57" s="333" t="s">
        <v>168</v>
      </c>
      <c r="L57" s="333"/>
      <c r="M57" s="154"/>
      <c r="O57" s="156"/>
      <c r="P57" s="156"/>
      <c r="Q57" s="156"/>
      <c r="R57" s="157"/>
      <c r="S57" s="158"/>
      <c r="T57" s="159"/>
    </row>
    <row r="58" spans="1:20" s="155" customFormat="1" ht="14.25" customHeight="1">
      <c r="A58" s="160" t="s">
        <v>46</v>
      </c>
      <c r="B58" s="328" t="s">
        <v>169</v>
      </c>
      <c r="C58" s="328"/>
      <c r="D58" s="328" t="s">
        <v>170</v>
      </c>
      <c r="E58" s="328"/>
      <c r="F58" s="328" t="s">
        <v>171</v>
      </c>
      <c r="G58" s="328"/>
      <c r="H58" s="328" t="s">
        <v>172</v>
      </c>
      <c r="I58" s="328"/>
      <c r="J58" s="332"/>
      <c r="K58" s="334" t="s">
        <v>173</v>
      </c>
      <c r="L58" s="334"/>
      <c r="M58" s="154"/>
      <c r="N58" s="329" t="s">
        <v>46</v>
      </c>
      <c r="O58" s="330" t="s">
        <v>47</v>
      </c>
      <c r="P58" s="330"/>
      <c r="Q58" s="330"/>
      <c r="R58" s="161"/>
      <c r="S58" s="331" t="s">
        <v>131</v>
      </c>
      <c r="T58" s="331"/>
    </row>
    <row r="59" spans="1:20" s="155" customFormat="1" ht="15.75" customHeight="1">
      <c r="A59" s="162" t="s">
        <v>174</v>
      </c>
      <c r="B59" s="163" t="s">
        <v>175</v>
      </c>
      <c r="C59" s="163" t="s">
        <v>176</v>
      </c>
      <c r="D59" s="163" t="s">
        <v>175</v>
      </c>
      <c r="E59" s="163" t="s">
        <v>176</v>
      </c>
      <c r="F59" s="163" t="s">
        <v>175</v>
      </c>
      <c r="G59" s="163" t="s">
        <v>176</v>
      </c>
      <c r="H59" s="163" t="s">
        <v>175</v>
      </c>
      <c r="I59" s="163" t="s">
        <v>176</v>
      </c>
      <c r="J59" s="164">
        <f>SUM(Reb__Est__por_faixa_etária!D9)</f>
        <v>1399</v>
      </c>
      <c r="K59" s="165" t="s">
        <v>177</v>
      </c>
      <c r="L59" s="165" t="s">
        <v>178</v>
      </c>
      <c r="M59" s="154"/>
      <c r="N59" s="329"/>
      <c r="O59" s="323" t="s">
        <v>54</v>
      </c>
      <c r="P59" s="323" t="s">
        <v>55</v>
      </c>
      <c r="Q59" s="323" t="s">
        <v>56</v>
      </c>
      <c r="R59" s="166"/>
      <c r="S59" s="331" t="s">
        <v>179</v>
      </c>
      <c r="T59" s="331"/>
    </row>
    <row r="60" spans="1:20" s="155" customFormat="1" ht="15.75">
      <c r="A60" s="167" t="s">
        <v>180</v>
      </c>
      <c r="B60" s="200">
        <v>9</v>
      </c>
      <c r="C60" s="200">
        <v>2</v>
      </c>
      <c r="D60" s="200">
        <v>89</v>
      </c>
      <c r="E60" s="200">
        <v>138</v>
      </c>
      <c r="F60" s="200">
        <v>296</v>
      </c>
      <c r="G60" s="200">
        <v>108</v>
      </c>
      <c r="H60" s="200">
        <v>188</v>
      </c>
      <c r="I60" s="200">
        <v>449</v>
      </c>
      <c r="J60" s="167"/>
      <c r="K60" s="170">
        <f>J59*0.6</f>
        <v>839.4000000000001</v>
      </c>
      <c r="L60" s="170">
        <f>J59*0.4</f>
        <v>559.6</v>
      </c>
      <c r="M60" s="154"/>
      <c r="N60" s="329"/>
      <c r="O60" s="323"/>
      <c r="P60" s="323"/>
      <c r="Q60" s="323"/>
      <c r="R60" s="166"/>
      <c r="S60" s="201">
        <f>S46</f>
        <v>2020</v>
      </c>
      <c r="T60" s="201">
        <f>T46</f>
        <v>2019</v>
      </c>
    </row>
    <row r="61" spans="1:20" s="155" customFormat="1" ht="15.75">
      <c r="A61" s="167" t="s">
        <v>181</v>
      </c>
      <c r="B61" s="200">
        <v>1197</v>
      </c>
      <c r="C61" s="200">
        <v>639</v>
      </c>
      <c r="D61" s="200">
        <v>543</v>
      </c>
      <c r="E61" s="200">
        <v>475</v>
      </c>
      <c r="F61" s="200">
        <v>219</v>
      </c>
      <c r="G61" s="200">
        <v>436</v>
      </c>
      <c r="H61" s="200">
        <v>283</v>
      </c>
      <c r="I61" s="200">
        <v>1582</v>
      </c>
      <c r="J61" s="173"/>
      <c r="K61" s="174"/>
      <c r="L61" s="174"/>
      <c r="M61" s="154"/>
      <c r="N61" s="175" t="s">
        <v>67</v>
      </c>
      <c r="O61" s="176">
        <f>SUM(F60,H60,F67,H67)</f>
        <v>853</v>
      </c>
      <c r="P61" s="176">
        <f>SUM(B60,D60,B67,D67,K60)</f>
        <v>1616.4</v>
      </c>
      <c r="Q61" s="177"/>
      <c r="R61" s="178"/>
      <c r="S61" s="179">
        <f>(O61+P61+O62+P62+O68+P68+O69+P69+Q69+Q68)</f>
        <v>12850.999999999998</v>
      </c>
      <c r="T61" s="202">
        <v>12813</v>
      </c>
    </row>
    <row r="62" spans="1:20" s="155" customFormat="1" ht="15.75">
      <c r="A62" s="167" t="s">
        <v>182</v>
      </c>
      <c r="B62" s="200">
        <v>25</v>
      </c>
      <c r="C62" s="200">
        <v>12</v>
      </c>
      <c r="D62" s="200">
        <v>15</v>
      </c>
      <c r="E62" s="200">
        <v>12</v>
      </c>
      <c r="F62" s="200">
        <v>31</v>
      </c>
      <c r="G62" s="200">
        <v>5</v>
      </c>
      <c r="H62" s="200">
        <v>2</v>
      </c>
      <c r="I62" s="200">
        <v>77</v>
      </c>
      <c r="J62" s="173"/>
      <c r="K62" s="174"/>
      <c r="L62" s="174"/>
      <c r="M62" s="154"/>
      <c r="N62" s="175" t="s">
        <v>69</v>
      </c>
      <c r="O62" s="176">
        <f>SUM(G60,I60,G67,I67)</f>
        <v>1337</v>
      </c>
      <c r="P62" s="176">
        <f>SUM(C60,E60,C67,E67,L60)</f>
        <v>1166.6</v>
      </c>
      <c r="Q62" s="180"/>
      <c r="R62" s="181"/>
      <c r="S62" s="182" t="s">
        <v>183</v>
      </c>
      <c r="T62" s="183">
        <f>S61-T61</f>
        <v>37.99999999999818</v>
      </c>
    </row>
    <row r="63" spans="1:20" s="155" customFormat="1" ht="15.75">
      <c r="A63" s="167" t="s">
        <v>184</v>
      </c>
      <c r="B63" s="200">
        <v>27</v>
      </c>
      <c r="C63" s="200">
        <v>8</v>
      </c>
      <c r="D63" s="200">
        <v>0</v>
      </c>
      <c r="E63" s="200">
        <v>0</v>
      </c>
      <c r="F63" s="200">
        <v>0</v>
      </c>
      <c r="G63" s="200">
        <v>0</v>
      </c>
      <c r="H63" s="200">
        <v>0</v>
      </c>
      <c r="I63" s="200">
        <v>0</v>
      </c>
      <c r="J63" s="173"/>
      <c r="K63" s="174"/>
      <c r="L63" s="174"/>
      <c r="M63" s="154"/>
      <c r="O63" s="156"/>
      <c r="P63" s="156"/>
      <c r="Q63" s="156"/>
      <c r="R63" s="157"/>
      <c r="S63" s="184"/>
      <c r="T63" s="185"/>
    </row>
    <row r="64" spans="1:20" s="155" customFormat="1" ht="6" customHeight="1">
      <c r="A64" s="174"/>
      <c r="B64"/>
      <c r="C64"/>
      <c r="D64"/>
      <c r="E64"/>
      <c r="F64"/>
      <c r="G64"/>
      <c r="H64"/>
      <c r="I64"/>
      <c r="J64" s="174"/>
      <c r="K64" s="174"/>
      <c r="L64" s="174"/>
      <c r="M64" s="154"/>
      <c r="O64" s="156"/>
      <c r="P64" s="156"/>
      <c r="Q64" s="156"/>
      <c r="R64" s="157"/>
      <c r="S64" s="184"/>
      <c r="T64" s="185"/>
    </row>
    <row r="65" spans="1:20" s="155" customFormat="1" ht="15.75">
      <c r="A65" s="160" t="s">
        <v>46</v>
      </c>
      <c r="B65" s="327" t="s">
        <v>169</v>
      </c>
      <c r="C65" s="327"/>
      <c r="D65" s="327" t="s">
        <v>170</v>
      </c>
      <c r="E65" s="327"/>
      <c r="F65" s="328" t="s">
        <v>171</v>
      </c>
      <c r="G65" s="328"/>
      <c r="H65" s="328" t="s">
        <v>172</v>
      </c>
      <c r="I65" s="328"/>
      <c r="J65" s="186"/>
      <c r="K65" s="186"/>
      <c r="L65" s="186"/>
      <c r="M65" s="154"/>
      <c r="N65" s="329" t="s">
        <v>46</v>
      </c>
      <c r="O65" s="330" t="s">
        <v>185</v>
      </c>
      <c r="P65" s="330"/>
      <c r="Q65" s="330"/>
      <c r="R65" s="161"/>
      <c r="S65" s="322">
        <v>2019</v>
      </c>
      <c r="T65" s="322"/>
    </row>
    <row r="66" spans="1:20" s="155" customFormat="1" ht="13.5" customHeight="1">
      <c r="A66" s="162" t="s">
        <v>186</v>
      </c>
      <c r="B66" s="187" t="s">
        <v>175</v>
      </c>
      <c r="C66" s="187" t="s">
        <v>176</v>
      </c>
      <c r="D66" s="187" t="s">
        <v>175</v>
      </c>
      <c r="E66" s="187" t="s">
        <v>176</v>
      </c>
      <c r="F66" s="163" t="s">
        <v>175</v>
      </c>
      <c r="G66" s="163" t="s">
        <v>176</v>
      </c>
      <c r="H66" s="163" t="s">
        <v>175</v>
      </c>
      <c r="I66" s="163" t="s">
        <v>176</v>
      </c>
      <c r="J66" s="186"/>
      <c r="K66" s="186"/>
      <c r="L66" s="186"/>
      <c r="M66" s="154"/>
      <c r="N66" s="329"/>
      <c r="O66" s="323" t="s">
        <v>57</v>
      </c>
      <c r="P66" s="324" t="s">
        <v>187</v>
      </c>
      <c r="Q66" s="324" t="s">
        <v>59</v>
      </c>
      <c r="R66" s="188"/>
      <c r="S66" s="325" t="s">
        <v>57</v>
      </c>
      <c r="T66" s="326" t="s">
        <v>187</v>
      </c>
    </row>
    <row r="67" spans="1:24" s="155" customFormat="1" ht="15.75">
      <c r="A67" s="167" t="s">
        <v>180</v>
      </c>
      <c r="B67" s="200">
        <v>226</v>
      </c>
      <c r="C67" s="200">
        <v>76</v>
      </c>
      <c r="D67" s="200">
        <v>453</v>
      </c>
      <c r="E67" s="200">
        <v>391</v>
      </c>
      <c r="F67" s="200">
        <v>283</v>
      </c>
      <c r="G67" s="200">
        <v>201</v>
      </c>
      <c r="H67" s="200">
        <v>86</v>
      </c>
      <c r="I67" s="200">
        <v>579</v>
      </c>
      <c r="J67" s="173"/>
      <c r="K67" s="174"/>
      <c r="L67" s="174"/>
      <c r="M67" s="154"/>
      <c r="N67" s="329"/>
      <c r="O67" s="323"/>
      <c r="P67" s="323"/>
      <c r="Q67" s="324"/>
      <c r="R67" s="188"/>
      <c r="S67" s="325"/>
      <c r="T67" s="325"/>
      <c r="U67"/>
      <c r="V67"/>
      <c r="W67"/>
      <c r="X67"/>
    </row>
    <row r="68" spans="1:24" s="155" customFormat="1" ht="15.75">
      <c r="A68" s="189" t="s">
        <v>181</v>
      </c>
      <c r="B68" s="200">
        <v>820</v>
      </c>
      <c r="C68" s="200">
        <v>590</v>
      </c>
      <c r="D68" s="200">
        <v>459</v>
      </c>
      <c r="E68" s="200">
        <v>532</v>
      </c>
      <c r="F68" s="200">
        <v>248</v>
      </c>
      <c r="G68" s="200">
        <v>300</v>
      </c>
      <c r="H68" s="200">
        <v>118</v>
      </c>
      <c r="I68" s="200">
        <v>1637</v>
      </c>
      <c r="J68" s="173"/>
      <c r="K68" s="174"/>
      <c r="L68" s="174"/>
      <c r="M68" s="154"/>
      <c r="N68" s="190" t="s">
        <v>67</v>
      </c>
      <c r="O68" s="176">
        <f>SUM(B61,B62,B63,B68,B69)*0.65</f>
        <v>1352.65</v>
      </c>
      <c r="P68" s="176">
        <f>SUM(D61,F61,H61,D63,F63,H63,D68,F68,H68)*0.74</f>
        <v>1383.8</v>
      </c>
      <c r="Q68" s="176">
        <f>SUM(D62,F62,H62,D69,F69,H69)*0.8</f>
        <v>66.4</v>
      </c>
      <c r="R68" s="181"/>
      <c r="S68" s="191">
        <v>1667</v>
      </c>
      <c r="T68" s="192">
        <v>1738</v>
      </c>
      <c r="U68" s="193">
        <f>O68/S68*1-1</f>
        <v>-0.1885722855428914</v>
      </c>
      <c r="V68" s="193">
        <f>P68/T68*1-1</f>
        <v>-0.20379746835443036</v>
      </c>
      <c r="W68" s="194">
        <f>O68-S68</f>
        <v>-314.3499999999999</v>
      </c>
      <c r="X68" s="194">
        <f>P68-T68</f>
        <v>-354.20000000000005</v>
      </c>
    </row>
    <row r="69" spans="1:24" s="155" customFormat="1" ht="15.75">
      <c r="A69" s="189" t="s">
        <v>182</v>
      </c>
      <c r="B69" s="200">
        <v>12</v>
      </c>
      <c r="C69" s="200">
        <v>16</v>
      </c>
      <c r="D69" s="200">
        <v>19</v>
      </c>
      <c r="E69" s="200">
        <v>22</v>
      </c>
      <c r="F69" s="200">
        <v>12</v>
      </c>
      <c r="G69" s="200">
        <v>11</v>
      </c>
      <c r="H69" s="200">
        <v>4</v>
      </c>
      <c r="I69" s="200">
        <v>56</v>
      </c>
      <c r="J69" s="173"/>
      <c r="K69" s="174"/>
      <c r="L69" s="174"/>
      <c r="M69" s="154"/>
      <c r="N69" s="190" t="s">
        <v>69</v>
      </c>
      <c r="O69" s="176">
        <f>SUM(C61,C62,C63,C68,C69)*0.77</f>
        <v>974.0500000000001</v>
      </c>
      <c r="P69" s="176">
        <f>SUM(E61,G61,I61,E62,E63,G63,I63,E68,G68,I68,E69)*0.8</f>
        <v>3996.8</v>
      </c>
      <c r="Q69" s="176">
        <f>SUM(G62,I62,G69,I69)*0.7</f>
        <v>104.3</v>
      </c>
      <c r="R69" s="181"/>
      <c r="S69" s="195">
        <v>1221</v>
      </c>
      <c r="T69" s="195">
        <v>5031</v>
      </c>
      <c r="U69" s="193">
        <f>O69/S69*1-1</f>
        <v>-0.20225225225225218</v>
      </c>
      <c r="V69" s="193">
        <f>P69/T69*1-1</f>
        <v>-0.20556549393758694</v>
      </c>
      <c r="W69" s="194">
        <f>O69-S69</f>
        <v>-246.94999999999993</v>
      </c>
      <c r="X69" s="194">
        <f>P69-T69</f>
        <v>-1034.1999999999998</v>
      </c>
    </row>
    <row r="70" spans="1:20" ht="15.75">
      <c r="A70" s="196"/>
      <c r="J70" s="196"/>
      <c r="K70" s="196"/>
      <c r="L70" s="196"/>
      <c r="M70" s="197"/>
      <c r="N70" s="196"/>
      <c r="O70" s="196"/>
      <c r="P70" s="196"/>
      <c r="Q70" s="196"/>
      <c r="R70" s="196"/>
      <c r="S70" s="198"/>
      <c r="T70" s="199"/>
    </row>
    <row r="71" spans="1:20" s="155" customFormat="1" ht="16.5" customHeight="1">
      <c r="A71" s="152" t="s">
        <v>189</v>
      </c>
      <c r="B71" s="153"/>
      <c r="C71" s="153"/>
      <c r="D71" s="153"/>
      <c r="E71" s="153"/>
      <c r="F71" s="153"/>
      <c r="G71" s="153"/>
      <c r="H71" s="153"/>
      <c r="I71" s="153"/>
      <c r="J71" s="332" t="s">
        <v>167</v>
      </c>
      <c r="K71" s="333" t="s">
        <v>168</v>
      </c>
      <c r="L71" s="333"/>
      <c r="M71" s="154"/>
      <c r="O71" s="156"/>
      <c r="P71" s="156"/>
      <c r="Q71" s="156"/>
      <c r="R71" s="157"/>
      <c r="S71" s="158"/>
      <c r="T71" s="159"/>
    </row>
    <row r="72" spans="1:20" s="155" customFormat="1" ht="14.25" customHeight="1">
      <c r="A72" s="160" t="s">
        <v>46</v>
      </c>
      <c r="B72" s="328" t="s">
        <v>169</v>
      </c>
      <c r="C72" s="328"/>
      <c r="D72" s="328" t="s">
        <v>170</v>
      </c>
      <c r="E72" s="328"/>
      <c r="F72" s="328" t="s">
        <v>171</v>
      </c>
      <c r="G72" s="328"/>
      <c r="H72" s="328" t="s">
        <v>172</v>
      </c>
      <c r="I72" s="328"/>
      <c r="J72" s="332"/>
      <c r="K72" s="334" t="s">
        <v>173</v>
      </c>
      <c r="L72" s="334"/>
      <c r="M72" s="154"/>
      <c r="N72" s="329" t="s">
        <v>46</v>
      </c>
      <c r="O72" s="330" t="s">
        <v>47</v>
      </c>
      <c r="P72" s="330"/>
      <c r="Q72" s="330"/>
      <c r="R72" s="161"/>
      <c r="S72" s="331" t="s">
        <v>131</v>
      </c>
      <c r="T72" s="331"/>
    </row>
    <row r="73" spans="1:20" s="155" customFormat="1" ht="15.75" customHeight="1">
      <c r="A73" s="162" t="s">
        <v>174</v>
      </c>
      <c r="B73" s="163" t="s">
        <v>175</v>
      </c>
      <c r="C73" s="163" t="s">
        <v>176</v>
      </c>
      <c r="D73" s="163" t="s">
        <v>175</v>
      </c>
      <c r="E73" s="163" t="s">
        <v>176</v>
      </c>
      <c r="F73" s="163" t="s">
        <v>175</v>
      </c>
      <c r="G73" s="163" t="s">
        <v>176</v>
      </c>
      <c r="H73" s="163" t="s">
        <v>175</v>
      </c>
      <c r="I73" s="163" t="s">
        <v>176</v>
      </c>
      <c r="J73" s="164">
        <f>SUM(Reb__Est__por_faixa_etária!D10)</f>
        <v>706</v>
      </c>
      <c r="K73" s="165" t="s">
        <v>177</v>
      </c>
      <c r="L73" s="165" t="s">
        <v>178</v>
      </c>
      <c r="M73" s="154"/>
      <c r="N73" s="329"/>
      <c r="O73" s="323" t="s">
        <v>54</v>
      </c>
      <c r="P73" s="323" t="s">
        <v>55</v>
      </c>
      <c r="Q73" s="323" t="s">
        <v>56</v>
      </c>
      <c r="R73" s="166"/>
      <c r="S73" s="331" t="s">
        <v>179</v>
      </c>
      <c r="T73" s="331"/>
    </row>
    <row r="74" spans="1:20" s="155" customFormat="1" ht="15.75">
      <c r="A74" s="167" t="s">
        <v>180</v>
      </c>
      <c r="B74" s="200">
        <v>9</v>
      </c>
      <c r="C74" s="200">
        <v>39</v>
      </c>
      <c r="D74" s="200">
        <v>419</v>
      </c>
      <c r="E74" s="200">
        <v>662</v>
      </c>
      <c r="F74" s="200">
        <v>588</v>
      </c>
      <c r="G74" s="200">
        <v>185</v>
      </c>
      <c r="H74" s="200">
        <v>1960</v>
      </c>
      <c r="I74" s="200">
        <v>1029</v>
      </c>
      <c r="J74" s="167"/>
      <c r="K74" s="170">
        <f>J73*0.6</f>
        <v>423.6000000000001</v>
      </c>
      <c r="L74" s="170">
        <f>J73*0.4</f>
        <v>282.40000000000003</v>
      </c>
      <c r="M74" s="154"/>
      <c r="N74" s="329"/>
      <c r="O74" s="323"/>
      <c r="P74" s="323"/>
      <c r="Q74" s="323"/>
      <c r="R74" s="166"/>
      <c r="S74" s="201">
        <f>S60</f>
        <v>2020</v>
      </c>
      <c r="T74" s="201">
        <f>T60</f>
        <v>2019</v>
      </c>
    </row>
    <row r="75" spans="1:20" s="155" customFormat="1" ht="15.75">
      <c r="A75" s="167" t="s">
        <v>181</v>
      </c>
      <c r="B75" s="200">
        <v>929</v>
      </c>
      <c r="C75" s="200">
        <v>882</v>
      </c>
      <c r="D75" s="200">
        <v>845</v>
      </c>
      <c r="E75" s="200">
        <v>520</v>
      </c>
      <c r="F75" s="200">
        <v>1418</v>
      </c>
      <c r="G75" s="200">
        <v>184</v>
      </c>
      <c r="H75" s="200">
        <v>274</v>
      </c>
      <c r="I75" s="200">
        <v>687</v>
      </c>
      <c r="J75" s="173"/>
      <c r="K75" s="174"/>
      <c r="L75" s="174"/>
      <c r="M75" s="154"/>
      <c r="N75" s="175" t="s">
        <v>67</v>
      </c>
      <c r="O75" s="176">
        <f>SUM(F74,H74,F81,H81)</f>
        <v>2548</v>
      </c>
      <c r="P75" s="176">
        <f>SUM(B74,D74,B81,D81,K74)</f>
        <v>851.6000000000001</v>
      </c>
      <c r="Q75" s="177"/>
      <c r="R75" s="178"/>
      <c r="S75" s="179">
        <f>(O75+P75+O76+P76+O82+P82+O83+P83+Q83+Q82)</f>
        <v>10654.23</v>
      </c>
      <c r="T75" s="202">
        <v>10770</v>
      </c>
    </row>
    <row r="76" spans="1:20" s="155" customFormat="1" ht="15.75">
      <c r="A76" s="167" t="s">
        <v>182</v>
      </c>
      <c r="B76" s="200">
        <v>1</v>
      </c>
      <c r="C76" s="200">
        <v>37</v>
      </c>
      <c r="D76" s="200">
        <v>0</v>
      </c>
      <c r="E76" s="200">
        <v>146</v>
      </c>
      <c r="F76" s="200">
        <v>0</v>
      </c>
      <c r="G76" s="200">
        <v>173</v>
      </c>
      <c r="H76" s="200">
        <v>1</v>
      </c>
      <c r="I76" s="200">
        <v>188</v>
      </c>
      <c r="J76" s="173"/>
      <c r="K76" s="174"/>
      <c r="L76" s="174"/>
      <c r="M76" s="154"/>
      <c r="N76" s="175" t="s">
        <v>69</v>
      </c>
      <c r="O76" s="176">
        <f>SUM(G74,I74,G81,I81)</f>
        <v>1214</v>
      </c>
      <c r="P76" s="176">
        <f>SUM(C74,E74,C81,E81,L74)</f>
        <v>983.4000000000001</v>
      </c>
      <c r="Q76" s="180"/>
      <c r="R76" s="181"/>
      <c r="S76" s="182" t="s">
        <v>183</v>
      </c>
      <c r="T76" s="183">
        <f>S75-T75</f>
        <v>-115.77000000000044</v>
      </c>
    </row>
    <row r="77" spans="1:20" s="155" customFormat="1" ht="15.75">
      <c r="A77" s="167" t="s">
        <v>184</v>
      </c>
      <c r="B77" s="200">
        <v>211</v>
      </c>
      <c r="C77" s="200">
        <v>251</v>
      </c>
      <c r="D77" s="200">
        <v>56</v>
      </c>
      <c r="E77" s="200">
        <v>10</v>
      </c>
      <c r="F77" s="200">
        <v>0</v>
      </c>
      <c r="G77" s="200">
        <v>0</v>
      </c>
      <c r="H77" s="200">
        <v>0</v>
      </c>
      <c r="I77" s="200">
        <v>0</v>
      </c>
      <c r="J77" s="173"/>
      <c r="K77" s="174"/>
      <c r="L77" s="174"/>
      <c r="M77" s="154"/>
      <c r="O77" s="156"/>
      <c r="P77" s="156"/>
      <c r="Q77" s="156"/>
      <c r="R77" s="157"/>
      <c r="S77" s="184"/>
      <c r="T77" s="185"/>
    </row>
    <row r="78" spans="1:20" s="155" customFormat="1" ht="6" customHeight="1">
      <c r="A78" s="174"/>
      <c r="B78"/>
      <c r="C78"/>
      <c r="D78"/>
      <c r="E78"/>
      <c r="F78"/>
      <c r="G78"/>
      <c r="H78"/>
      <c r="I78"/>
      <c r="J78" s="174"/>
      <c r="K78" s="174"/>
      <c r="L78" s="174"/>
      <c r="M78" s="154"/>
      <c r="O78" s="156"/>
      <c r="P78" s="156"/>
      <c r="Q78" s="156"/>
      <c r="R78" s="157"/>
      <c r="S78" s="184"/>
      <c r="T78" s="185"/>
    </row>
    <row r="79" spans="1:20" s="155" customFormat="1" ht="13.5" customHeight="1">
      <c r="A79" s="160" t="s">
        <v>46</v>
      </c>
      <c r="B79" s="328" t="s">
        <v>169</v>
      </c>
      <c r="C79" s="328"/>
      <c r="D79" s="328" t="s">
        <v>170</v>
      </c>
      <c r="E79" s="328"/>
      <c r="F79" s="328" t="s">
        <v>171</v>
      </c>
      <c r="G79" s="328"/>
      <c r="H79" s="328" t="s">
        <v>172</v>
      </c>
      <c r="I79" s="328"/>
      <c r="J79" s="186"/>
      <c r="K79" s="186"/>
      <c r="L79" s="186"/>
      <c r="M79" s="154"/>
      <c r="N79" s="329" t="s">
        <v>46</v>
      </c>
      <c r="O79" s="330" t="s">
        <v>185</v>
      </c>
      <c r="P79" s="330"/>
      <c r="Q79" s="330"/>
      <c r="R79" s="161"/>
      <c r="S79" s="322">
        <v>2019</v>
      </c>
      <c r="T79" s="322"/>
    </row>
    <row r="80" spans="1:20" s="155" customFormat="1" ht="13.5" customHeight="1">
      <c r="A80" s="162" t="s">
        <v>186</v>
      </c>
      <c r="B80" s="187" t="s">
        <v>175</v>
      </c>
      <c r="C80" s="187" t="s">
        <v>176</v>
      </c>
      <c r="D80" s="187" t="s">
        <v>175</v>
      </c>
      <c r="E80" s="187" t="s">
        <v>176</v>
      </c>
      <c r="F80" s="163" t="s">
        <v>175</v>
      </c>
      <c r="G80" s="163" t="s">
        <v>176</v>
      </c>
      <c r="H80" s="163" t="s">
        <v>175</v>
      </c>
      <c r="I80" s="163" t="s">
        <v>176</v>
      </c>
      <c r="J80" s="186"/>
      <c r="K80" s="186"/>
      <c r="L80" s="186"/>
      <c r="M80" s="154"/>
      <c r="N80" s="329"/>
      <c r="O80" s="323" t="s">
        <v>57</v>
      </c>
      <c r="P80" s="324" t="s">
        <v>187</v>
      </c>
      <c r="Q80" s="324" t="s">
        <v>59</v>
      </c>
      <c r="R80" s="188"/>
      <c r="S80" s="325" t="s">
        <v>57</v>
      </c>
      <c r="T80" s="326" t="s">
        <v>187</v>
      </c>
    </row>
    <row r="81" spans="1:24" s="155" customFormat="1" ht="15.75">
      <c r="A81" s="167" t="s">
        <v>180</v>
      </c>
      <c r="B81" s="204"/>
      <c r="C81" s="204"/>
      <c r="D81" s="204"/>
      <c r="E81" s="204"/>
      <c r="F81" s="205"/>
      <c r="G81" s="205"/>
      <c r="H81" s="205"/>
      <c r="I81" s="205"/>
      <c r="J81" s="173"/>
      <c r="K81" s="174"/>
      <c r="L81" s="174"/>
      <c r="M81" s="154"/>
      <c r="N81" s="329"/>
      <c r="O81" s="323"/>
      <c r="P81" s="323"/>
      <c r="Q81" s="324"/>
      <c r="R81" s="188"/>
      <c r="S81" s="325"/>
      <c r="T81" s="325"/>
      <c r="U81"/>
      <c r="V81"/>
      <c r="W81"/>
      <c r="X81"/>
    </row>
    <row r="82" spans="1:24" s="155" customFormat="1" ht="15.75">
      <c r="A82" s="189" t="s">
        <v>181</v>
      </c>
      <c r="B82" s="200">
        <v>285</v>
      </c>
      <c r="C82" s="200">
        <v>392</v>
      </c>
      <c r="D82" s="200">
        <v>130</v>
      </c>
      <c r="E82" s="200">
        <v>367</v>
      </c>
      <c r="F82" s="200">
        <v>140</v>
      </c>
      <c r="G82" s="200">
        <v>144</v>
      </c>
      <c r="H82" s="200">
        <v>34</v>
      </c>
      <c r="I82" s="200">
        <v>628</v>
      </c>
      <c r="J82" s="173"/>
      <c r="K82" s="174"/>
      <c r="L82" s="174"/>
      <c r="M82" s="154"/>
      <c r="N82" s="190" t="s">
        <v>67</v>
      </c>
      <c r="O82" s="176">
        <f>SUM(B75,B76,B77,B82,B83)*0.63</f>
        <v>898.38</v>
      </c>
      <c r="P82" s="176">
        <f>SUM(D75,F75,H75,D77,F77,H77,D82,F82,H82)*0.27</f>
        <v>782.19</v>
      </c>
      <c r="Q82" s="176">
        <f>SUM(D76,F76,H76,D83,F83,H83)</f>
        <v>2</v>
      </c>
      <c r="R82" s="181"/>
      <c r="S82" s="191">
        <v>1117</v>
      </c>
      <c r="T82" s="192">
        <v>985</v>
      </c>
      <c r="U82" s="193">
        <f>O82/S82*1-1</f>
        <v>-0.19572068039391222</v>
      </c>
      <c r="V82" s="193">
        <f>P82/T82*1-1</f>
        <v>-0.20589847715736032</v>
      </c>
      <c r="W82" s="194">
        <f>O82-S82</f>
        <v>-218.62</v>
      </c>
      <c r="X82" s="194">
        <f>P82-T82</f>
        <v>-202.80999999999995</v>
      </c>
    </row>
    <row r="83" spans="1:24" s="155" customFormat="1" ht="15.75">
      <c r="A83" s="189" t="s">
        <v>182</v>
      </c>
      <c r="B83" s="200">
        <v>0</v>
      </c>
      <c r="C83" s="200">
        <v>31</v>
      </c>
      <c r="D83" s="200">
        <v>0</v>
      </c>
      <c r="E83" s="200">
        <v>80</v>
      </c>
      <c r="F83" s="200">
        <v>0</v>
      </c>
      <c r="G83" s="200">
        <v>51</v>
      </c>
      <c r="H83" s="200">
        <v>1</v>
      </c>
      <c r="I83" s="200">
        <v>292</v>
      </c>
      <c r="J83" s="173"/>
      <c r="K83" s="174"/>
      <c r="L83" s="174"/>
      <c r="M83" s="154"/>
      <c r="N83" s="190" t="s">
        <v>69</v>
      </c>
      <c r="O83" s="176">
        <f>SUM(C75,C76,C77,C82,C83)*0.42</f>
        <v>669.06</v>
      </c>
      <c r="P83" s="176">
        <f>SUM(E75,G75,I75,E76,E77,G77,I77,E82,G82,I82,E83)*0.8</f>
        <v>2212.8</v>
      </c>
      <c r="Q83" s="176">
        <f>SUM(G76,I76,G83,I83)*0.7</f>
        <v>492.79999999999995</v>
      </c>
      <c r="R83" s="181"/>
      <c r="S83" s="195">
        <v>825</v>
      </c>
      <c r="T83" s="195">
        <v>3360</v>
      </c>
      <c r="U83" s="193">
        <f>O83/S83*1-1</f>
        <v>-0.18901818181818186</v>
      </c>
      <c r="V83" s="193">
        <f>P83/T83*1-1</f>
        <v>-0.3414285714285714</v>
      </c>
      <c r="W83" s="194">
        <f>O83-S83</f>
        <v>-155.94000000000005</v>
      </c>
      <c r="X83" s="194">
        <f>P83-T83</f>
        <v>-1147.1999999999998</v>
      </c>
    </row>
    <row r="84" spans="1:20" ht="15.75">
      <c r="A84" s="196"/>
      <c r="J84" s="196"/>
      <c r="K84" s="196"/>
      <c r="L84" s="196"/>
      <c r="M84" s="197"/>
      <c r="N84" s="196"/>
      <c r="O84" s="196"/>
      <c r="P84" s="196"/>
      <c r="Q84" s="196"/>
      <c r="R84" s="196"/>
      <c r="S84" s="198"/>
      <c r="T84" s="199"/>
    </row>
    <row r="85" spans="1:20" s="155" customFormat="1" ht="16.5" customHeight="1">
      <c r="A85" s="152" t="s">
        <v>190</v>
      </c>
      <c r="B85" s="153"/>
      <c r="C85" s="153"/>
      <c r="D85" s="153"/>
      <c r="E85" s="153"/>
      <c r="F85" s="153" t="s">
        <v>191</v>
      </c>
      <c r="G85" s="153"/>
      <c r="H85" s="153"/>
      <c r="I85" s="153"/>
      <c r="J85" s="332" t="s">
        <v>167</v>
      </c>
      <c r="K85" s="333" t="s">
        <v>168</v>
      </c>
      <c r="L85" s="333"/>
      <c r="M85" s="154"/>
      <c r="O85" s="156"/>
      <c r="P85" s="156"/>
      <c r="Q85" s="156"/>
      <c r="R85" s="157"/>
      <c r="S85" s="158"/>
      <c r="T85" s="159"/>
    </row>
    <row r="86" spans="1:20" s="155" customFormat="1" ht="14.25" customHeight="1">
      <c r="A86" s="160" t="s">
        <v>46</v>
      </c>
      <c r="B86"/>
      <c r="C86"/>
      <c r="D86"/>
      <c r="E86"/>
      <c r="F86"/>
      <c r="G86"/>
      <c r="H86"/>
      <c r="I86"/>
      <c r="J86" s="332"/>
      <c r="K86" s="334" t="s">
        <v>173</v>
      </c>
      <c r="L86" s="334"/>
      <c r="M86" s="154"/>
      <c r="N86" s="329" t="s">
        <v>46</v>
      </c>
      <c r="O86" s="330" t="s">
        <v>47</v>
      </c>
      <c r="P86" s="330"/>
      <c r="Q86" s="330"/>
      <c r="R86" s="161"/>
      <c r="S86" s="331" t="s">
        <v>131</v>
      </c>
      <c r="T86" s="331"/>
    </row>
    <row r="87" spans="1:20" s="155" customFormat="1" ht="15.75" customHeight="1">
      <c r="A87" s="162" t="s">
        <v>174</v>
      </c>
      <c r="B87" s="163" t="s">
        <v>175</v>
      </c>
      <c r="C87" s="163" t="s">
        <v>176</v>
      </c>
      <c r="D87" s="163" t="s">
        <v>175</v>
      </c>
      <c r="E87" s="163" t="s">
        <v>176</v>
      </c>
      <c r="F87" s="163" t="s">
        <v>175</v>
      </c>
      <c r="G87" s="163" t="s">
        <v>176</v>
      </c>
      <c r="H87" s="163" t="s">
        <v>175</v>
      </c>
      <c r="I87" s="163" t="s">
        <v>176</v>
      </c>
      <c r="J87" s="164">
        <f>SUM(Reb__Est__por_faixa_etária!D11)</f>
        <v>579</v>
      </c>
      <c r="K87" s="165" t="s">
        <v>177</v>
      </c>
      <c r="L87" s="165" t="s">
        <v>178</v>
      </c>
      <c r="M87" s="154"/>
      <c r="N87" s="329"/>
      <c r="O87" s="323" t="s">
        <v>54</v>
      </c>
      <c r="P87" s="323" t="s">
        <v>55</v>
      </c>
      <c r="Q87" s="323" t="s">
        <v>56</v>
      </c>
      <c r="R87" s="166"/>
      <c r="S87" s="331" t="s">
        <v>179</v>
      </c>
      <c r="T87" s="331"/>
    </row>
    <row r="88" spans="1:20" s="155" customFormat="1" ht="15.75">
      <c r="A88" s="167" t="s">
        <v>180</v>
      </c>
      <c r="B88" s="200">
        <v>53</v>
      </c>
      <c r="C88" s="200">
        <v>43</v>
      </c>
      <c r="D88" s="200">
        <v>284</v>
      </c>
      <c r="E88" s="200">
        <v>142</v>
      </c>
      <c r="F88" s="200">
        <v>184</v>
      </c>
      <c r="G88" s="200">
        <v>112</v>
      </c>
      <c r="H88" s="200">
        <v>210</v>
      </c>
      <c r="I88" s="200">
        <v>309</v>
      </c>
      <c r="J88" s="167"/>
      <c r="K88" s="170">
        <f>J87*0.6</f>
        <v>347.40000000000003</v>
      </c>
      <c r="L88" s="170">
        <f>J87*0.4</f>
        <v>231.60000000000002</v>
      </c>
      <c r="M88" s="154"/>
      <c r="N88" s="329"/>
      <c r="O88" s="323"/>
      <c r="P88" s="323"/>
      <c r="Q88" s="323"/>
      <c r="R88" s="166"/>
      <c r="S88" s="201">
        <f>S74</f>
        <v>2020</v>
      </c>
      <c r="T88" s="201">
        <f>T74</f>
        <v>2019</v>
      </c>
    </row>
    <row r="89" spans="1:20" s="155" customFormat="1" ht="15.75">
      <c r="A89" s="167" t="s">
        <v>181</v>
      </c>
      <c r="B89" s="200">
        <v>771</v>
      </c>
      <c r="C89" s="200">
        <v>555</v>
      </c>
      <c r="D89" s="200">
        <v>277</v>
      </c>
      <c r="E89" s="200">
        <v>380</v>
      </c>
      <c r="F89" s="200">
        <v>73</v>
      </c>
      <c r="G89" s="200">
        <v>121</v>
      </c>
      <c r="H89" s="200">
        <v>81</v>
      </c>
      <c r="I89" s="200">
        <v>765</v>
      </c>
      <c r="J89" s="173"/>
      <c r="K89" s="174"/>
      <c r="L89" s="174"/>
      <c r="M89" s="154"/>
      <c r="N89" s="175" t="s">
        <v>67</v>
      </c>
      <c r="O89" s="176">
        <f>SUM(F88,H88,F95,H95)</f>
        <v>394</v>
      </c>
      <c r="P89" s="176">
        <f>SUM(B88,D88,B95,D95,K88)</f>
        <v>684.4000000000001</v>
      </c>
      <c r="Q89" s="177"/>
      <c r="R89" s="178"/>
      <c r="S89" s="179">
        <f>(O89+P89+O90+P90+O96+P96+O97+P97+Q97+Q96)</f>
        <v>6043.210000000001</v>
      </c>
      <c r="T89" s="202">
        <v>6285</v>
      </c>
    </row>
    <row r="90" spans="1:20" s="155" customFormat="1" ht="15.75">
      <c r="A90" s="167" t="s">
        <v>182</v>
      </c>
      <c r="B90" s="200">
        <v>0</v>
      </c>
      <c r="C90" s="200">
        <v>0</v>
      </c>
      <c r="D90" s="200">
        <v>0</v>
      </c>
      <c r="E90" s="200">
        <v>4</v>
      </c>
      <c r="F90" s="200">
        <v>0</v>
      </c>
      <c r="G90" s="200">
        <v>6</v>
      </c>
      <c r="H90" s="200">
        <v>0</v>
      </c>
      <c r="I90" s="200">
        <v>14</v>
      </c>
      <c r="J90" s="173"/>
      <c r="K90" s="174"/>
      <c r="L90" s="174"/>
      <c r="M90" s="154"/>
      <c r="N90" s="175" t="s">
        <v>69</v>
      </c>
      <c r="O90" s="176">
        <f>SUM(G88,I88,G95,I95)</f>
        <v>421</v>
      </c>
      <c r="P90" s="176">
        <f>SUM(C88,E88,C95,E95,L88)</f>
        <v>416.6</v>
      </c>
      <c r="Q90" s="180"/>
      <c r="R90" s="181"/>
      <c r="S90" s="182" t="s">
        <v>183</v>
      </c>
      <c r="T90" s="183">
        <f>S89-T89</f>
        <v>-241.78999999999905</v>
      </c>
    </row>
    <row r="91" spans="1:20" s="155" customFormat="1" ht="15.75">
      <c r="A91" s="167" t="s">
        <v>184</v>
      </c>
      <c r="B91" s="206"/>
      <c r="C91" s="206"/>
      <c r="D91" s="206"/>
      <c r="E91" s="206"/>
      <c r="F91" s="206"/>
      <c r="G91" s="206"/>
      <c r="H91" s="206"/>
      <c r="I91" s="206"/>
      <c r="J91" s="173"/>
      <c r="K91" s="174"/>
      <c r="L91" s="174"/>
      <c r="M91" s="154"/>
      <c r="O91" s="156"/>
      <c r="P91" s="156"/>
      <c r="Q91" s="156"/>
      <c r="R91" s="157"/>
      <c r="S91" s="184"/>
      <c r="T91" s="185"/>
    </row>
    <row r="92" spans="1:20" s="155" customFormat="1" ht="6" customHeight="1">
      <c r="A92" s="174"/>
      <c r="B92"/>
      <c r="C92"/>
      <c r="D92"/>
      <c r="E92"/>
      <c r="F92"/>
      <c r="G92"/>
      <c r="H92"/>
      <c r="I92"/>
      <c r="J92" s="174"/>
      <c r="K92" s="174"/>
      <c r="L92" s="174"/>
      <c r="M92" s="154"/>
      <c r="O92" s="156"/>
      <c r="P92" s="156"/>
      <c r="Q92" s="156"/>
      <c r="R92" s="157"/>
      <c r="S92" s="184"/>
      <c r="T92" s="185"/>
    </row>
    <row r="93" spans="1:20" s="155" customFormat="1" ht="13.5" customHeight="1">
      <c r="A93" s="160" t="s">
        <v>46</v>
      </c>
      <c r="B93" s="327" t="s">
        <v>169</v>
      </c>
      <c r="C93" s="327"/>
      <c r="D93" s="327" t="s">
        <v>170</v>
      </c>
      <c r="E93" s="327"/>
      <c r="F93" s="328" t="s">
        <v>171</v>
      </c>
      <c r="G93" s="328"/>
      <c r="H93" s="328" t="s">
        <v>172</v>
      </c>
      <c r="I93" s="328"/>
      <c r="J93" s="186"/>
      <c r="K93" s="186"/>
      <c r="L93" s="186"/>
      <c r="M93" s="154"/>
      <c r="N93" s="329" t="s">
        <v>46</v>
      </c>
      <c r="O93" s="330" t="s">
        <v>185</v>
      </c>
      <c r="P93" s="330"/>
      <c r="Q93" s="330"/>
      <c r="R93" s="161"/>
      <c r="S93" s="322">
        <v>2019</v>
      </c>
      <c r="T93" s="322"/>
    </row>
    <row r="94" spans="1:20" s="155" customFormat="1" ht="13.5" customHeight="1">
      <c r="A94" s="162" t="s">
        <v>186</v>
      </c>
      <c r="B94" s="187" t="s">
        <v>175</v>
      </c>
      <c r="C94" s="187" t="s">
        <v>176</v>
      </c>
      <c r="D94" s="187" t="s">
        <v>175</v>
      </c>
      <c r="E94" s="187" t="s">
        <v>176</v>
      </c>
      <c r="F94" s="163" t="s">
        <v>175</v>
      </c>
      <c r="G94" s="163" t="s">
        <v>176</v>
      </c>
      <c r="H94" s="163" t="s">
        <v>175</v>
      </c>
      <c r="I94" s="163" t="s">
        <v>176</v>
      </c>
      <c r="J94" s="186"/>
      <c r="K94" s="186"/>
      <c r="L94" s="186"/>
      <c r="M94" s="154"/>
      <c r="N94" s="329"/>
      <c r="O94" s="323" t="s">
        <v>57</v>
      </c>
      <c r="P94" s="324" t="s">
        <v>187</v>
      </c>
      <c r="Q94" s="324" t="s">
        <v>59</v>
      </c>
      <c r="R94" s="188"/>
      <c r="S94" s="325" t="s">
        <v>57</v>
      </c>
      <c r="T94" s="326" t="s">
        <v>187</v>
      </c>
    </row>
    <row r="95" spans="1:24" s="155" customFormat="1" ht="15.75">
      <c r="A95" s="167" t="s">
        <v>180</v>
      </c>
      <c r="B95" s="204"/>
      <c r="C95" s="204"/>
      <c r="D95" s="204"/>
      <c r="E95" s="204"/>
      <c r="F95" s="205"/>
      <c r="G95" s="205"/>
      <c r="H95" s="205"/>
      <c r="I95" s="205"/>
      <c r="J95" s="173"/>
      <c r="K95" s="174"/>
      <c r="L95" s="174"/>
      <c r="M95" s="154"/>
      <c r="N95" s="329"/>
      <c r="O95" s="323"/>
      <c r="P95" s="323"/>
      <c r="Q95" s="324"/>
      <c r="R95" s="188"/>
      <c r="S95" s="325"/>
      <c r="T95" s="325"/>
      <c r="U95"/>
      <c r="V95"/>
      <c r="W95"/>
      <c r="X95"/>
    </row>
    <row r="96" spans="1:24" s="155" customFormat="1" ht="15.75">
      <c r="A96" s="189" t="s">
        <v>181</v>
      </c>
      <c r="B96" s="200">
        <v>396</v>
      </c>
      <c r="C96" s="200">
        <v>363</v>
      </c>
      <c r="D96" s="200">
        <v>196</v>
      </c>
      <c r="E96" s="200">
        <v>405</v>
      </c>
      <c r="F96" s="200">
        <v>48</v>
      </c>
      <c r="G96" s="200">
        <v>89</v>
      </c>
      <c r="H96" s="200">
        <v>80</v>
      </c>
      <c r="I96" s="200">
        <v>704</v>
      </c>
      <c r="J96" s="173"/>
      <c r="K96" s="174"/>
      <c r="L96" s="174"/>
      <c r="M96" s="154"/>
      <c r="N96" s="190" t="s">
        <v>67</v>
      </c>
      <c r="O96" s="176">
        <f>SUM(B89,B90,B91,B96,B97)*0.8</f>
        <v>934.4000000000001</v>
      </c>
      <c r="P96" s="176">
        <f>SUM(D89,F89,H89,D91,F91,H91,D96,F96,H96)*0.73</f>
        <v>551.15</v>
      </c>
      <c r="Q96" s="176">
        <f>SUM(D90,F90,H90,D97,F97,H97)</f>
        <v>2</v>
      </c>
      <c r="R96" s="181"/>
      <c r="S96" s="191">
        <v>1218</v>
      </c>
      <c r="T96" s="192">
        <v>680</v>
      </c>
      <c r="U96" s="193">
        <f>O96/S96*1-1</f>
        <v>-0.23284072249589483</v>
      </c>
      <c r="V96" s="193">
        <f>P96/T96*1-1</f>
        <v>-0.18948529411764714</v>
      </c>
      <c r="W96" s="194">
        <f>O96-S96</f>
        <v>-283.5999999999999</v>
      </c>
      <c r="X96" s="194">
        <f>P96-T96</f>
        <v>-128.85000000000002</v>
      </c>
    </row>
    <row r="97" spans="1:24" s="155" customFormat="1" ht="15.75">
      <c r="A97" s="189" t="s">
        <v>182</v>
      </c>
      <c r="B97" s="200">
        <v>1</v>
      </c>
      <c r="C97" s="200">
        <v>1</v>
      </c>
      <c r="D97" s="200">
        <v>0</v>
      </c>
      <c r="E97" s="200">
        <v>59</v>
      </c>
      <c r="F97" s="200">
        <v>0</v>
      </c>
      <c r="G97" s="200">
        <v>31</v>
      </c>
      <c r="H97" s="200">
        <v>2</v>
      </c>
      <c r="I97" s="200">
        <v>123</v>
      </c>
      <c r="J97" s="173"/>
      <c r="K97" s="174"/>
      <c r="L97" s="174"/>
      <c r="M97" s="154"/>
      <c r="N97" s="190" t="s">
        <v>69</v>
      </c>
      <c r="O97" s="176">
        <f>SUM(C89,C90,C91,C96,C97)*0.54</f>
        <v>496.26000000000005</v>
      </c>
      <c r="P97" s="176">
        <f>SUM(E89,G89,I89,E90,E91,G91,I91,E96,G96,I96,E97)*0.8</f>
        <v>2021.6000000000001</v>
      </c>
      <c r="Q97" s="176">
        <f>SUM(G90,I90,G97,I97)*0.7</f>
        <v>121.8</v>
      </c>
      <c r="R97" s="181"/>
      <c r="S97" s="195">
        <v>613</v>
      </c>
      <c r="T97" s="195">
        <v>2756</v>
      </c>
      <c r="U97" s="193">
        <f>O97/S97*1-1</f>
        <v>-0.19044045676998356</v>
      </c>
      <c r="V97" s="193">
        <f>P97/T97*1-1</f>
        <v>-0.2664731494920174</v>
      </c>
      <c r="W97" s="194">
        <f>O97-S97</f>
        <v>-116.73999999999995</v>
      </c>
      <c r="X97" s="194">
        <f>P97-T97</f>
        <v>-734.3999999999999</v>
      </c>
    </row>
    <row r="98" spans="1:20" ht="15.75">
      <c r="A98" s="196"/>
      <c r="J98" s="196"/>
      <c r="K98" s="196"/>
      <c r="L98" s="196"/>
      <c r="M98" s="197"/>
      <c r="N98" s="196"/>
      <c r="O98" s="196"/>
      <c r="P98" s="196"/>
      <c r="Q98" s="196"/>
      <c r="R98" s="196"/>
      <c r="S98" s="198"/>
      <c r="T98" s="199"/>
    </row>
    <row r="99" spans="1:20" s="155" customFormat="1" ht="16.5" customHeight="1">
      <c r="A99" s="152" t="s">
        <v>192</v>
      </c>
      <c r="B99" s="153"/>
      <c r="C99" s="153"/>
      <c r="D99" s="153"/>
      <c r="E99" s="153"/>
      <c r="F99" s="153"/>
      <c r="G99" s="153"/>
      <c r="H99" s="153"/>
      <c r="I99" s="153"/>
      <c r="J99" s="332" t="s">
        <v>167</v>
      </c>
      <c r="K99" s="333" t="s">
        <v>168</v>
      </c>
      <c r="L99" s="333"/>
      <c r="M99" s="154"/>
      <c r="O99" s="156"/>
      <c r="P99" s="156"/>
      <c r="Q99" s="156"/>
      <c r="R99" s="157"/>
      <c r="S99" s="158"/>
      <c r="T99" s="159"/>
    </row>
    <row r="100" spans="1:20" s="155" customFormat="1" ht="14.25" customHeight="1">
      <c r="A100" s="160" t="s">
        <v>46</v>
      </c>
      <c r="B100" s="328" t="s">
        <v>169</v>
      </c>
      <c r="C100" s="328"/>
      <c r="D100" s="328" t="s">
        <v>170</v>
      </c>
      <c r="E100" s="328"/>
      <c r="F100" s="328" t="s">
        <v>171</v>
      </c>
      <c r="G100" s="328"/>
      <c r="H100" s="328" t="s">
        <v>172</v>
      </c>
      <c r="I100" s="328"/>
      <c r="J100" s="332"/>
      <c r="K100" s="334" t="s">
        <v>173</v>
      </c>
      <c r="L100" s="334"/>
      <c r="M100" s="154"/>
      <c r="N100" s="329" t="s">
        <v>46</v>
      </c>
      <c r="O100" s="330" t="s">
        <v>47</v>
      </c>
      <c r="P100" s="330"/>
      <c r="Q100" s="330"/>
      <c r="R100" s="161"/>
      <c r="S100" s="331" t="s">
        <v>131</v>
      </c>
      <c r="T100" s="331"/>
    </row>
    <row r="101" spans="1:20" s="155" customFormat="1" ht="15.75" customHeight="1">
      <c r="A101" s="162" t="s">
        <v>174</v>
      </c>
      <c r="B101" s="163" t="s">
        <v>175</v>
      </c>
      <c r="C101" s="163" t="s">
        <v>176</v>
      </c>
      <c r="D101" s="163" t="s">
        <v>175</v>
      </c>
      <c r="E101" s="163" t="s">
        <v>176</v>
      </c>
      <c r="F101" s="163" t="s">
        <v>175</v>
      </c>
      <c r="G101" s="163" t="s">
        <v>176</v>
      </c>
      <c r="H101" s="163" t="s">
        <v>175</v>
      </c>
      <c r="I101" s="163" t="s">
        <v>176</v>
      </c>
      <c r="J101" s="164">
        <f>SUM(Reb__Est__por_faixa_etária!D12)</f>
        <v>1848</v>
      </c>
      <c r="K101" s="165" t="s">
        <v>177</v>
      </c>
      <c r="L101" s="165" t="s">
        <v>178</v>
      </c>
      <c r="M101" s="154"/>
      <c r="N101" s="329"/>
      <c r="O101" s="323" t="s">
        <v>54</v>
      </c>
      <c r="P101" s="323" t="s">
        <v>55</v>
      </c>
      <c r="Q101" s="323" t="s">
        <v>56</v>
      </c>
      <c r="R101" s="166"/>
      <c r="S101" s="331" t="s">
        <v>179</v>
      </c>
      <c r="T101" s="331"/>
    </row>
    <row r="102" spans="1:20" s="155" customFormat="1" ht="15.75">
      <c r="A102" s="167" t="s">
        <v>180</v>
      </c>
      <c r="B102" s="200">
        <v>24</v>
      </c>
      <c r="C102" s="200">
        <v>48</v>
      </c>
      <c r="D102" s="200">
        <v>252</v>
      </c>
      <c r="E102" s="200">
        <v>187</v>
      </c>
      <c r="F102" s="200">
        <v>254</v>
      </c>
      <c r="G102" s="200">
        <v>103</v>
      </c>
      <c r="H102" s="200">
        <v>178</v>
      </c>
      <c r="I102" s="200">
        <v>2067</v>
      </c>
      <c r="J102" s="167"/>
      <c r="K102" s="170">
        <f>J101*0.6</f>
        <v>1108.8000000000002</v>
      </c>
      <c r="L102" s="170">
        <f>J101*0.4</f>
        <v>739.2</v>
      </c>
      <c r="M102" s="154"/>
      <c r="N102" s="329"/>
      <c r="O102" s="323"/>
      <c r="P102" s="323"/>
      <c r="Q102" s="323"/>
      <c r="R102" s="166"/>
      <c r="S102" s="201">
        <f>S88</f>
        <v>2020</v>
      </c>
      <c r="T102" s="201">
        <f>T88</f>
        <v>2019</v>
      </c>
    </row>
    <row r="103" spans="1:20" s="155" customFormat="1" ht="15.75">
      <c r="A103" s="167" t="s">
        <v>181</v>
      </c>
      <c r="B103" s="200">
        <v>3703</v>
      </c>
      <c r="C103" s="200">
        <v>2661</v>
      </c>
      <c r="D103" s="200">
        <v>867</v>
      </c>
      <c r="E103" s="200">
        <v>1015</v>
      </c>
      <c r="F103" s="200">
        <v>167</v>
      </c>
      <c r="G103" s="200">
        <v>409</v>
      </c>
      <c r="H103" s="200">
        <v>107</v>
      </c>
      <c r="I103" s="200">
        <v>1670</v>
      </c>
      <c r="J103" s="173"/>
      <c r="K103" s="174"/>
      <c r="L103" s="174"/>
      <c r="M103" s="154"/>
      <c r="N103" s="175" t="s">
        <v>67</v>
      </c>
      <c r="O103" s="176">
        <f>SUM(F102,H102,F109,H109)</f>
        <v>978</v>
      </c>
      <c r="P103" s="176">
        <f>SUM(B102,D102,B109,D109,K102)</f>
        <v>2654.8</v>
      </c>
      <c r="Q103" s="177"/>
      <c r="R103" s="178"/>
      <c r="S103" s="179">
        <f>(O103+P103+O104+P104+O110+P110+O111+P111+Q111+Q110)</f>
        <v>23384.84</v>
      </c>
      <c r="T103" s="202">
        <v>23664</v>
      </c>
    </row>
    <row r="104" spans="1:20" s="155" customFormat="1" ht="15.75">
      <c r="A104" s="167" t="s">
        <v>182</v>
      </c>
      <c r="B104" s="200">
        <v>50</v>
      </c>
      <c r="C104" s="200">
        <v>119</v>
      </c>
      <c r="D104" s="200">
        <v>10</v>
      </c>
      <c r="E104" s="200">
        <v>188</v>
      </c>
      <c r="F104" s="200">
        <v>17</v>
      </c>
      <c r="G104" s="200">
        <v>175</v>
      </c>
      <c r="H104" s="200">
        <v>11</v>
      </c>
      <c r="I104" s="200">
        <v>431</v>
      </c>
      <c r="J104" s="173"/>
      <c r="K104" s="174"/>
      <c r="L104" s="174"/>
      <c r="M104" s="154"/>
      <c r="N104" s="175" t="s">
        <v>69</v>
      </c>
      <c r="O104" s="176">
        <f>SUM(G102,I102,G109,I109)</f>
        <v>3550</v>
      </c>
      <c r="P104" s="176">
        <f>SUM(C102,E102,C109,E109,L102)</f>
        <v>2132.2</v>
      </c>
      <c r="Q104" s="180"/>
      <c r="R104" s="181"/>
      <c r="S104" s="182" t="s">
        <v>183</v>
      </c>
      <c r="T104" s="183">
        <f>S103-T103</f>
        <v>-279.15999999999985</v>
      </c>
    </row>
    <row r="105" spans="1:20" s="155" customFormat="1" ht="15.75">
      <c r="A105" s="167" t="s">
        <v>184</v>
      </c>
      <c r="B105" s="200">
        <v>1</v>
      </c>
      <c r="C105" s="200">
        <v>46</v>
      </c>
      <c r="D105" s="200">
        <v>2</v>
      </c>
      <c r="E105" s="200">
        <v>33</v>
      </c>
      <c r="F105" s="200">
        <v>1</v>
      </c>
      <c r="G105" s="200">
        <v>0</v>
      </c>
      <c r="H105" s="200">
        <v>1</v>
      </c>
      <c r="I105" s="200">
        <v>0</v>
      </c>
      <c r="J105" s="173"/>
      <c r="K105" s="174"/>
      <c r="L105" s="174"/>
      <c r="M105" s="154"/>
      <c r="O105" s="156"/>
      <c r="P105" s="156"/>
      <c r="Q105" s="156"/>
      <c r="R105" s="157"/>
      <c r="S105" s="184"/>
      <c r="T105" s="185"/>
    </row>
    <row r="106" spans="1:20" s="155" customFormat="1" ht="6" customHeight="1">
      <c r="A106" s="174"/>
      <c r="B106"/>
      <c r="C106"/>
      <c r="D106"/>
      <c r="E106"/>
      <c r="F106"/>
      <c r="G106"/>
      <c r="H106"/>
      <c r="I106"/>
      <c r="J106" s="174"/>
      <c r="K106" s="174"/>
      <c r="L106" s="174"/>
      <c r="M106" s="154"/>
      <c r="O106" s="156"/>
      <c r="P106" s="156"/>
      <c r="Q106" s="156"/>
      <c r="R106" s="157"/>
      <c r="S106" s="184"/>
      <c r="T106" s="185"/>
    </row>
    <row r="107" spans="1:20" s="155" customFormat="1" ht="15.75">
      <c r="A107" s="160" t="s">
        <v>46</v>
      </c>
      <c r="B107" s="327" t="s">
        <v>169</v>
      </c>
      <c r="C107" s="327"/>
      <c r="D107" s="327" t="s">
        <v>170</v>
      </c>
      <c r="E107" s="327"/>
      <c r="F107" s="328" t="s">
        <v>171</v>
      </c>
      <c r="G107" s="328"/>
      <c r="H107" s="328" t="s">
        <v>172</v>
      </c>
      <c r="I107" s="328"/>
      <c r="J107" s="186"/>
      <c r="K107" s="186"/>
      <c r="L107" s="186"/>
      <c r="M107" s="154"/>
      <c r="N107" s="329" t="s">
        <v>46</v>
      </c>
      <c r="O107" s="330" t="s">
        <v>185</v>
      </c>
      <c r="P107" s="330"/>
      <c r="Q107" s="330"/>
      <c r="R107" s="161"/>
      <c r="S107" s="322">
        <v>2019</v>
      </c>
      <c r="T107" s="322"/>
    </row>
    <row r="108" spans="1:20" s="155" customFormat="1" ht="13.5" customHeight="1">
      <c r="A108" s="162" t="s">
        <v>186</v>
      </c>
      <c r="B108" s="187" t="s">
        <v>175</v>
      </c>
      <c r="C108" s="187" t="s">
        <v>176</v>
      </c>
      <c r="D108" s="187" t="s">
        <v>175</v>
      </c>
      <c r="E108" s="187" t="s">
        <v>176</v>
      </c>
      <c r="F108" s="163" t="s">
        <v>175</v>
      </c>
      <c r="G108" s="163" t="s">
        <v>176</v>
      </c>
      <c r="H108" s="163" t="s">
        <v>175</v>
      </c>
      <c r="I108" s="163" t="s">
        <v>176</v>
      </c>
      <c r="J108" s="186"/>
      <c r="K108" s="186"/>
      <c r="L108" s="186"/>
      <c r="M108" s="154"/>
      <c r="N108" s="329"/>
      <c r="O108" s="323" t="s">
        <v>57</v>
      </c>
      <c r="P108" s="324" t="s">
        <v>187</v>
      </c>
      <c r="Q108" s="324" t="s">
        <v>59</v>
      </c>
      <c r="R108" s="188"/>
      <c r="S108" s="325" t="s">
        <v>57</v>
      </c>
      <c r="T108" s="326" t="s">
        <v>187</v>
      </c>
    </row>
    <row r="109" spans="1:24" s="155" customFormat="1" ht="15.75">
      <c r="A109" s="167" t="s">
        <v>180</v>
      </c>
      <c r="B109" s="200">
        <v>218</v>
      </c>
      <c r="C109" s="200">
        <v>263</v>
      </c>
      <c r="D109" s="200">
        <v>1052</v>
      </c>
      <c r="E109" s="200">
        <v>895</v>
      </c>
      <c r="F109" s="200">
        <v>411</v>
      </c>
      <c r="G109" s="200">
        <v>445</v>
      </c>
      <c r="H109" s="200">
        <v>135</v>
      </c>
      <c r="I109" s="200">
        <v>935</v>
      </c>
      <c r="J109" s="173"/>
      <c r="K109" s="174"/>
      <c r="L109" s="174"/>
      <c r="M109" s="154"/>
      <c r="N109" s="329"/>
      <c r="O109" s="323"/>
      <c r="P109" s="323"/>
      <c r="Q109" s="324"/>
      <c r="R109" s="188"/>
      <c r="S109" s="325"/>
      <c r="T109" s="325"/>
      <c r="U109"/>
      <c r="V109"/>
      <c r="W109"/>
      <c r="X109"/>
    </row>
    <row r="110" spans="1:24" s="155" customFormat="1" ht="15.75">
      <c r="A110" s="189" t="s">
        <v>181</v>
      </c>
      <c r="B110" s="200">
        <v>1428</v>
      </c>
      <c r="C110" s="200">
        <v>1200</v>
      </c>
      <c r="D110" s="200">
        <v>489</v>
      </c>
      <c r="E110" s="200">
        <v>786</v>
      </c>
      <c r="F110" s="200">
        <v>187</v>
      </c>
      <c r="G110" s="200">
        <v>477</v>
      </c>
      <c r="H110" s="200">
        <v>135</v>
      </c>
      <c r="I110" s="200">
        <v>2665</v>
      </c>
      <c r="J110" s="173"/>
      <c r="K110" s="174"/>
      <c r="L110" s="174"/>
      <c r="M110" s="154"/>
      <c r="N110" s="190" t="s">
        <v>67</v>
      </c>
      <c r="O110" s="176">
        <f>SUM(B103,B104,B105,B110,B111)*0.57</f>
        <v>2959.4399999999996</v>
      </c>
      <c r="P110" s="176">
        <f>SUM(D103,F103,H103,D105,F105,H105,D110,F110,H110)*0.8</f>
        <v>1564.8000000000002</v>
      </c>
      <c r="Q110" s="176">
        <f>SUM(D104,F104,H104,D111,F111,H111)</f>
        <v>38</v>
      </c>
      <c r="R110" s="181"/>
      <c r="S110" s="191">
        <v>3659</v>
      </c>
      <c r="T110" s="192">
        <v>2574</v>
      </c>
      <c r="U110" s="193">
        <f>O110/S110*1-1</f>
        <v>-0.19118884941240788</v>
      </c>
      <c r="V110" s="193">
        <f>P110/T110*1-1</f>
        <v>-0.39207459207459205</v>
      </c>
      <c r="W110" s="194">
        <f>O110-S110</f>
        <v>-699.5600000000004</v>
      </c>
      <c r="X110" s="194">
        <f>P110-T110</f>
        <v>-1009.1999999999998</v>
      </c>
    </row>
    <row r="111" spans="1:24" s="155" customFormat="1" ht="15.75">
      <c r="A111" s="189" t="s">
        <v>182</v>
      </c>
      <c r="B111" s="200">
        <v>10</v>
      </c>
      <c r="C111" s="200">
        <v>177</v>
      </c>
      <c r="D111" s="200">
        <v>0</v>
      </c>
      <c r="E111" s="200">
        <v>338</v>
      </c>
      <c r="F111" s="200">
        <v>0</v>
      </c>
      <c r="G111" s="200">
        <v>245</v>
      </c>
      <c r="H111" s="200">
        <v>0</v>
      </c>
      <c r="I111" s="200">
        <v>706</v>
      </c>
      <c r="J111" s="173"/>
      <c r="K111" s="174"/>
      <c r="L111" s="174"/>
      <c r="M111" s="154"/>
      <c r="N111" s="190" t="s">
        <v>69</v>
      </c>
      <c r="O111" s="176">
        <f>SUM(C103,C104,C105,C110,C111)*0.65</f>
        <v>2731.9500000000003</v>
      </c>
      <c r="P111" s="176">
        <f>SUM(E103,G103,I103,E104,E105,G105,I105,E110,G110,I110,E111)*0.75</f>
        <v>5685.75</v>
      </c>
      <c r="Q111" s="176">
        <f>SUM(G104,I104,G111,I111)*0.7</f>
        <v>1089.8999999999999</v>
      </c>
      <c r="R111" s="181"/>
      <c r="S111" s="195">
        <v>3301</v>
      </c>
      <c r="T111" s="195">
        <v>7074</v>
      </c>
      <c r="U111" s="193">
        <f>O111/S111*1-1</f>
        <v>-0.1723871554074522</v>
      </c>
      <c r="V111" s="193">
        <f>P111/T111*1-1</f>
        <v>-0.19624681933842236</v>
      </c>
      <c r="W111" s="194">
        <f>O111-S111</f>
        <v>-569.0499999999997</v>
      </c>
      <c r="X111" s="194">
        <f>P111-T111</f>
        <v>-1388.25</v>
      </c>
    </row>
    <row r="112" spans="1:20" ht="15.75">
      <c r="A112" s="196"/>
      <c r="J112" s="196"/>
      <c r="K112" s="196"/>
      <c r="L112" s="196"/>
      <c r="M112" s="197"/>
      <c r="N112" s="196"/>
      <c r="O112" s="196"/>
      <c r="P112" s="196"/>
      <c r="Q112" s="196"/>
      <c r="R112" s="196"/>
      <c r="S112" s="198"/>
      <c r="T112" s="199"/>
    </row>
    <row r="113" spans="1:20" s="155" customFormat="1" ht="16.5" customHeight="1">
      <c r="A113" s="152" t="s">
        <v>193</v>
      </c>
      <c r="B113" s="153"/>
      <c r="C113" s="153"/>
      <c r="D113" s="153"/>
      <c r="E113" s="153"/>
      <c r="F113" s="153"/>
      <c r="G113" s="153"/>
      <c r="H113" s="153"/>
      <c r="I113" s="153"/>
      <c r="J113" s="332" t="s">
        <v>167</v>
      </c>
      <c r="K113" s="333" t="s">
        <v>168</v>
      </c>
      <c r="L113" s="333"/>
      <c r="M113" s="154"/>
      <c r="O113" s="156"/>
      <c r="P113" s="156"/>
      <c r="Q113" s="156"/>
      <c r="R113" s="157"/>
      <c r="S113" s="158"/>
      <c r="T113" s="159"/>
    </row>
    <row r="114" spans="1:20" s="155" customFormat="1" ht="14.25" customHeight="1">
      <c r="A114" s="160" t="s">
        <v>46</v>
      </c>
      <c r="B114" s="328" t="s">
        <v>169</v>
      </c>
      <c r="C114" s="328"/>
      <c r="D114" s="328" t="s">
        <v>170</v>
      </c>
      <c r="E114" s="328"/>
      <c r="F114" s="328" t="s">
        <v>171</v>
      </c>
      <c r="G114" s="328"/>
      <c r="H114" s="328" t="s">
        <v>172</v>
      </c>
      <c r="I114" s="328"/>
      <c r="J114" s="332"/>
      <c r="K114" s="334" t="s">
        <v>173</v>
      </c>
      <c r="L114" s="334"/>
      <c r="M114" s="154"/>
      <c r="N114" s="329" t="s">
        <v>46</v>
      </c>
      <c r="O114" s="330" t="s">
        <v>47</v>
      </c>
      <c r="P114" s="330"/>
      <c r="Q114" s="330"/>
      <c r="R114" s="161"/>
      <c r="S114" s="331" t="s">
        <v>131</v>
      </c>
      <c r="T114" s="331"/>
    </row>
    <row r="115" spans="1:20" s="155" customFormat="1" ht="15.75" customHeight="1">
      <c r="A115" s="162" t="s">
        <v>174</v>
      </c>
      <c r="B115" s="163" t="s">
        <v>175</v>
      </c>
      <c r="C115" s="163" t="s">
        <v>176</v>
      </c>
      <c r="D115" s="163" t="s">
        <v>175</v>
      </c>
      <c r="E115" s="163" t="s">
        <v>176</v>
      </c>
      <c r="F115" s="163" t="s">
        <v>175</v>
      </c>
      <c r="G115" s="163" t="s">
        <v>176</v>
      </c>
      <c r="H115" s="163" t="s">
        <v>175</v>
      </c>
      <c r="I115" s="163" t="s">
        <v>176</v>
      </c>
      <c r="J115" s="164">
        <f>SUM(Reb__Est__por_faixa_etária!D13)</f>
        <v>522</v>
      </c>
      <c r="K115" s="165" t="s">
        <v>177</v>
      </c>
      <c r="L115" s="165" t="s">
        <v>178</v>
      </c>
      <c r="M115" s="154"/>
      <c r="N115" s="329"/>
      <c r="O115" s="323" t="s">
        <v>54</v>
      </c>
      <c r="P115" s="323" t="s">
        <v>55</v>
      </c>
      <c r="Q115" s="323" t="s">
        <v>56</v>
      </c>
      <c r="R115" s="166"/>
      <c r="S115" s="331" t="s">
        <v>179</v>
      </c>
      <c r="T115" s="331"/>
    </row>
    <row r="116" spans="1:20" s="155" customFormat="1" ht="15.75">
      <c r="A116" s="167" t="s">
        <v>180</v>
      </c>
      <c r="B116" s="168">
        <v>1</v>
      </c>
      <c r="C116" s="168">
        <v>0</v>
      </c>
      <c r="D116" s="168">
        <v>136</v>
      </c>
      <c r="E116" s="168">
        <v>84</v>
      </c>
      <c r="F116" s="168">
        <v>345</v>
      </c>
      <c r="G116" s="168">
        <v>94</v>
      </c>
      <c r="H116" s="168">
        <v>178</v>
      </c>
      <c r="I116" s="168">
        <v>637</v>
      </c>
      <c r="J116" s="167"/>
      <c r="K116" s="170">
        <f>J115*0.6</f>
        <v>313.20000000000005</v>
      </c>
      <c r="L116" s="170">
        <f>J115*0.4</f>
        <v>208.8</v>
      </c>
      <c r="M116" s="154"/>
      <c r="N116" s="329"/>
      <c r="O116" s="323"/>
      <c r="P116" s="323"/>
      <c r="Q116" s="323"/>
      <c r="R116" s="166"/>
      <c r="S116" s="201">
        <f>S102</f>
        <v>2020</v>
      </c>
      <c r="T116" s="201">
        <f>T102</f>
        <v>2019</v>
      </c>
    </row>
    <row r="117" spans="1:20" s="155" customFormat="1" ht="15.75">
      <c r="A117" s="167" t="s">
        <v>181</v>
      </c>
      <c r="B117" s="172">
        <v>2442</v>
      </c>
      <c r="C117" s="172">
        <v>1751</v>
      </c>
      <c r="D117" s="172">
        <v>926</v>
      </c>
      <c r="E117" s="172">
        <v>623</v>
      </c>
      <c r="F117" s="172">
        <v>295</v>
      </c>
      <c r="G117" s="172">
        <v>348</v>
      </c>
      <c r="H117" s="172">
        <v>173</v>
      </c>
      <c r="I117" s="172">
        <v>1400</v>
      </c>
      <c r="J117" s="173"/>
      <c r="K117" s="174"/>
      <c r="L117" s="174"/>
      <c r="M117" s="154"/>
      <c r="N117" s="175" t="s">
        <v>67</v>
      </c>
      <c r="O117" s="176">
        <f>SUM(F116,H116,F123,H123)</f>
        <v>523</v>
      </c>
      <c r="P117" s="176">
        <f>SUM(B116,D116,B123,D123,K116)</f>
        <v>450.20000000000005</v>
      </c>
      <c r="Q117" s="177"/>
      <c r="R117" s="178"/>
      <c r="S117" s="179">
        <f>(O117+P117+O118+P118+O124+P124+O125+P125+Q125+Q124)</f>
        <v>10081.300000000001</v>
      </c>
      <c r="T117" s="202">
        <v>12705</v>
      </c>
    </row>
    <row r="118" spans="1:20" s="155" customFormat="1" ht="15.75">
      <c r="A118" s="167" t="s">
        <v>182</v>
      </c>
      <c r="B118" s="172">
        <v>1</v>
      </c>
      <c r="C118" s="172">
        <v>6</v>
      </c>
      <c r="D118" s="172">
        <v>3</v>
      </c>
      <c r="E118" s="172">
        <v>29</v>
      </c>
      <c r="F118" s="172">
        <v>10</v>
      </c>
      <c r="G118" s="172">
        <v>3</v>
      </c>
      <c r="H118" s="172">
        <v>1</v>
      </c>
      <c r="I118" s="172">
        <v>91</v>
      </c>
      <c r="J118" s="173"/>
      <c r="K118" s="174"/>
      <c r="L118" s="174"/>
      <c r="M118" s="154"/>
      <c r="N118" s="175" t="s">
        <v>69</v>
      </c>
      <c r="O118" s="176">
        <f>SUM(G116,I116,G123,I123)</f>
        <v>731</v>
      </c>
      <c r="P118" s="176">
        <f>SUM(C116,E116,C123,E123,L116)</f>
        <v>292.8</v>
      </c>
      <c r="Q118" s="180"/>
      <c r="R118" s="181"/>
      <c r="S118" s="182" t="s">
        <v>183</v>
      </c>
      <c r="T118" s="183">
        <f>S117-T117</f>
        <v>-2623.699999999999</v>
      </c>
    </row>
    <row r="119" spans="1:20" s="155" customFormat="1" ht="15.75">
      <c r="A119" s="167" t="s">
        <v>184</v>
      </c>
      <c r="B119" s="172">
        <v>371</v>
      </c>
      <c r="C119" s="172">
        <v>211</v>
      </c>
      <c r="D119" s="172">
        <v>49</v>
      </c>
      <c r="E119" s="172">
        <v>12</v>
      </c>
      <c r="F119" s="172">
        <v>24</v>
      </c>
      <c r="G119" s="172">
        <v>10</v>
      </c>
      <c r="H119" s="172">
        <v>2</v>
      </c>
      <c r="I119" s="172">
        <v>15</v>
      </c>
      <c r="J119" s="173"/>
      <c r="K119" s="174"/>
      <c r="L119" s="174"/>
      <c r="M119" s="154"/>
      <c r="O119" s="156"/>
      <c r="P119" s="156"/>
      <c r="Q119" s="156"/>
      <c r="R119" s="157"/>
      <c r="S119" s="184"/>
      <c r="T119" s="185"/>
    </row>
    <row r="120" spans="1:20" s="155" customFormat="1" ht="6" customHeight="1">
      <c r="A120" s="174"/>
      <c r="B120"/>
      <c r="C120"/>
      <c r="D120"/>
      <c r="E120"/>
      <c r="F120"/>
      <c r="G120"/>
      <c r="H120"/>
      <c r="I120"/>
      <c r="J120" s="174"/>
      <c r="K120" s="174"/>
      <c r="L120" s="174"/>
      <c r="M120" s="154"/>
      <c r="O120" s="156"/>
      <c r="P120" s="156"/>
      <c r="Q120" s="156"/>
      <c r="R120" s="157"/>
      <c r="S120" s="184"/>
      <c r="T120" s="185"/>
    </row>
    <row r="121" spans="1:20" s="155" customFormat="1" ht="15.75">
      <c r="A121" s="160" t="s">
        <v>46</v>
      </c>
      <c r="B121" s="327" t="s">
        <v>169</v>
      </c>
      <c r="C121" s="327"/>
      <c r="D121" s="327" t="s">
        <v>170</v>
      </c>
      <c r="E121" s="327"/>
      <c r="F121" s="328" t="s">
        <v>171</v>
      </c>
      <c r="G121" s="328"/>
      <c r="H121" s="328" t="s">
        <v>172</v>
      </c>
      <c r="I121" s="328"/>
      <c r="J121" s="186"/>
      <c r="K121" s="186"/>
      <c r="L121" s="186"/>
      <c r="M121" s="154"/>
      <c r="N121" s="329" t="s">
        <v>46</v>
      </c>
      <c r="O121" s="330" t="s">
        <v>185</v>
      </c>
      <c r="P121" s="330"/>
      <c r="Q121" s="330"/>
      <c r="R121" s="161"/>
      <c r="S121" s="322">
        <v>2019</v>
      </c>
      <c r="T121" s="322"/>
    </row>
    <row r="122" spans="1:20" s="155" customFormat="1" ht="13.5" customHeight="1">
      <c r="A122" s="162" t="s">
        <v>186</v>
      </c>
      <c r="B122" s="187" t="s">
        <v>175</v>
      </c>
      <c r="C122" s="187" t="s">
        <v>176</v>
      </c>
      <c r="D122" s="187" t="s">
        <v>175</v>
      </c>
      <c r="E122" s="187" t="s">
        <v>176</v>
      </c>
      <c r="F122" s="163" t="s">
        <v>175</v>
      </c>
      <c r="G122" s="163" t="s">
        <v>176</v>
      </c>
      <c r="H122" s="163" t="s">
        <v>175</v>
      </c>
      <c r="I122" s="163" t="s">
        <v>176</v>
      </c>
      <c r="J122" s="186"/>
      <c r="K122" s="186"/>
      <c r="L122" s="186"/>
      <c r="M122" s="154"/>
      <c r="N122" s="329"/>
      <c r="O122" s="323" t="s">
        <v>57</v>
      </c>
      <c r="P122" s="324" t="s">
        <v>187</v>
      </c>
      <c r="Q122" s="324" t="s">
        <v>59</v>
      </c>
      <c r="R122" s="188"/>
      <c r="S122" s="325" t="s">
        <v>57</v>
      </c>
      <c r="T122" s="326" t="s">
        <v>187</v>
      </c>
    </row>
    <row r="123" spans="1:24" s="155" customFormat="1" ht="15.75">
      <c r="A123" s="167" t="s">
        <v>180</v>
      </c>
      <c r="B123" s="204"/>
      <c r="C123" s="204"/>
      <c r="D123" s="204"/>
      <c r="E123" s="204"/>
      <c r="F123" s="205"/>
      <c r="G123" s="205"/>
      <c r="H123" s="205"/>
      <c r="I123" s="205"/>
      <c r="J123" s="173"/>
      <c r="K123" s="174"/>
      <c r="L123" s="174"/>
      <c r="M123" s="154"/>
      <c r="N123" s="329"/>
      <c r="O123" s="323"/>
      <c r="P123" s="323"/>
      <c r="Q123" s="324"/>
      <c r="R123" s="188"/>
      <c r="S123" s="325"/>
      <c r="T123" s="325"/>
      <c r="U123"/>
      <c r="V123"/>
      <c r="W123"/>
      <c r="X123"/>
    </row>
    <row r="124" spans="1:24" s="155" customFormat="1" ht="15.75">
      <c r="A124" s="189" t="s">
        <v>181</v>
      </c>
      <c r="B124" s="168">
        <v>526</v>
      </c>
      <c r="C124" s="168">
        <v>381</v>
      </c>
      <c r="D124" s="168">
        <v>68</v>
      </c>
      <c r="E124" s="168">
        <v>120</v>
      </c>
      <c r="F124" s="168">
        <v>59</v>
      </c>
      <c r="G124" s="168">
        <v>160</v>
      </c>
      <c r="H124" s="168">
        <v>78</v>
      </c>
      <c r="I124" s="168">
        <v>753</v>
      </c>
      <c r="J124" s="173"/>
      <c r="K124" s="174"/>
      <c r="L124" s="174"/>
      <c r="M124" s="154"/>
      <c r="N124" s="190" t="s">
        <v>67</v>
      </c>
      <c r="O124" s="176">
        <f>SUM(B117,B118,B119,B124,B125)*0.65</f>
        <v>2171</v>
      </c>
      <c r="P124" s="176">
        <f>SUM(D117,F117,H117,D119,F119,H119,D124,F124,H124)*0.75</f>
        <v>1255.5</v>
      </c>
      <c r="Q124" s="176">
        <f>SUM(D118,F118,H118,D125,F125,H125)</f>
        <v>14</v>
      </c>
      <c r="R124" s="181"/>
      <c r="S124" s="191">
        <v>2676</v>
      </c>
      <c r="T124" s="192">
        <v>1574</v>
      </c>
      <c r="U124" s="193">
        <f>O124/S124*1-1</f>
        <v>-0.18871449925261585</v>
      </c>
      <c r="V124" s="193">
        <f>P124/T124*1-1</f>
        <v>-0.20235069885641677</v>
      </c>
      <c r="W124" s="194">
        <f>O124-S124</f>
        <v>-505</v>
      </c>
      <c r="X124" s="194">
        <f>P124-T124</f>
        <v>-318.5</v>
      </c>
    </row>
    <row r="125" spans="1:24" s="155" customFormat="1" ht="15.75">
      <c r="A125" s="189" t="s">
        <v>182</v>
      </c>
      <c r="B125" s="172">
        <v>0</v>
      </c>
      <c r="C125" s="172">
        <v>3</v>
      </c>
      <c r="D125" s="172">
        <v>0</v>
      </c>
      <c r="E125" s="172">
        <v>2</v>
      </c>
      <c r="F125" s="172">
        <v>0</v>
      </c>
      <c r="G125" s="172">
        <v>0</v>
      </c>
      <c r="H125" s="172">
        <v>0</v>
      </c>
      <c r="I125" s="172">
        <v>52</v>
      </c>
      <c r="J125" s="173"/>
      <c r="K125" s="174"/>
      <c r="L125" s="174"/>
      <c r="M125" s="154"/>
      <c r="N125" s="190" t="s">
        <v>69</v>
      </c>
      <c r="O125" s="176">
        <f>SUM(C117,C118,C119,C124,C125)*0.75</f>
        <v>1764</v>
      </c>
      <c r="P125" s="176">
        <f>SUM(E117,G117,I117,E118,E119,G119,I119,E124,G124,I124,E125)*0.8</f>
        <v>2777.6000000000004</v>
      </c>
      <c r="Q125" s="176">
        <f>SUM(G118,I118,G125,I125)*0.7</f>
        <v>102.19999999999999</v>
      </c>
      <c r="R125" s="181"/>
      <c r="S125" s="195">
        <v>2206</v>
      </c>
      <c r="T125" s="195">
        <v>4644</v>
      </c>
      <c r="U125" s="193">
        <f>O125/S125*1-1</f>
        <v>-0.20036264732547593</v>
      </c>
      <c r="V125" s="193">
        <f>P125/T125*1-1</f>
        <v>-0.4018949181739878</v>
      </c>
      <c r="W125" s="194">
        <f>O125-S125</f>
        <v>-442</v>
      </c>
      <c r="X125" s="194">
        <f>P125-T125</f>
        <v>-1866.3999999999996</v>
      </c>
    </row>
    <row r="126" spans="1:20" ht="15.75">
      <c r="A126" s="196"/>
      <c r="J126" s="196"/>
      <c r="K126" s="196"/>
      <c r="L126" s="196"/>
      <c r="M126" s="197"/>
      <c r="N126" s="196"/>
      <c r="O126" s="196"/>
      <c r="P126" s="196"/>
      <c r="Q126" s="196"/>
      <c r="R126" s="196"/>
      <c r="S126" s="198"/>
      <c r="T126" s="199"/>
    </row>
    <row r="127" spans="1:20" s="155" customFormat="1" ht="16.5" customHeight="1">
      <c r="A127" s="152" t="s">
        <v>94</v>
      </c>
      <c r="B127" s="153"/>
      <c r="C127" s="153"/>
      <c r="D127" s="153"/>
      <c r="E127" s="153"/>
      <c r="F127" s="153"/>
      <c r="G127" s="153"/>
      <c r="H127" s="153"/>
      <c r="I127" s="153"/>
      <c r="J127" s="332" t="s">
        <v>167</v>
      </c>
      <c r="K127" s="333" t="s">
        <v>168</v>
      </c>
      <c r="L127" s="333"/>
      <c r="M127" s="154"/>
      <c r="O127" s="156"/>
      <c r="P127" s="156"/>
      <c r="Q127" s="156"/>
      <c r="R127" s="157"/>
      <c r="S127" s="158"/>
      <c r="T127" s="159"/>
    </row>
    <row r="128" spans="1:20" s="155" customFormat="1" ht="14.25" customHeight="1">
      <c r="A128" s="160" t="s">
        <v>46</v>
      </c>
      <c r="B128" s="328" t="s">
        <v>169</v>
      </c>
      <c r="C128" s="328"/>
      <c r="D128" s="328" t="s">
        <v>170</v>
      </c>
      <c r="E128" s="328"/>
      <c r="F128" s="328" t="s">
        <v>171</v>
      </c>
      <c r="G128" s="328"/>
      <c r="H128" s="328" t="s">
        <v>172</v>
      </c>
      <c r="I128" s="328"/>
      <c r="J128" s="332"/>
      <c r="K128" s="334" t="s">
        <v>173</v>
      </c>
      <c r="L128" s="334"/>
      <c r="M128" s="154"/>
      <c r="N128" s="329" t="s">
        <v>46</v>
      </c>
      <c r="O128" s="330" t="s">
        <v>47</v>
      </c>
      <c r="P128" s="330"/>
      <c r="Q128" s="330"/>
      <c r="R128" s="161"/>
      <c r="S128" s="331" t="s">
        <v>131</v>
      </c>
      <c r="T128" s="331"/>
    </row>
    <row r="129" spans="1:20" s="155" customFormat="1" ht="15.75" customHeight="1">
      <c r="A129" s="162" t="s">
        <v>174</v>
      </c>
      <c r="B129" s="163" t="s">
        <v>175</v>
      </c>
      <c r="C129" s="163" t="s">
        <v>176</v>
      </c>
      <c r="D129" s="163" t="s">
        <v>175</v>
      </c>
      <c r="E129" s="163" t="s">
        <v>176</v>
      </c>
      <c r="F129" s="163" t="s">
        <v>175</v>
      </c>
      <c r="G129" s="163" t="s">
        <v>176</v>
      </c>
      <c r="H129" s="163" t="s">
        <v>175</v>
      </c>
      <c r="I129" s="163" t="s">
        <v>176</v>
      </c>
      <c r="J129" s="164">
        <f>SUM(Reb__Est__por_faixa_etária!D14)</f>
        <v>939</v>
      </c>
      <c r="K129" s="165" t="s">
        <v>177</v>
      </c>
      <c r="L129" s="165" t="s">
        <v>178</v>
      </c>
      <c r="M129" s="154"/>
      <c r="N129" s="329"/>
      <c r="O129" s="323" t="s">
        <v>54</v>
      </c>
      <c r="P129" s="323" t="s">
        <v>55</v>
      </c>
      <c r="Q129" s="323" t="s">
        <v>56</v>
      </c>
      <c r="R129" s="166"/>
      <c r="S129" s="331" t="s">
        <v>179</v>
      </c>
      <c r="T129" s="331"/>
    </row>
    <row r="130" spans="1:20" s="155" customFormat="1" ht="15.75">
      <c r="A130" s="167" t="s">
        <v>180</v>
      </c>
      <c r="B130" s="200">
        <v>27</v>
      </c>
      <c r="C130" s="200">
        <v>2</v>
      </c>
      <c r="D130" s="200">
        <v>101</v>
      </c>
      <c r="E130" s="200">
        <v>121</v>
      </c>
      <c r="F130" s="200">
        <v>68</v>
      </c>
      <c r="G130" s="200">
        <v>37</v>
      </c>
      <c r="H130" s="200">
        <v>136</v>
      </c>
      <c r="I130" s="200">
        <v>892</v>
      </c>
      <c r="J130" s="167"/>
      <c r="K130" s="170">
        <f>J129*0.6</f>
        <v>563.4000000000001</v>
      </c>
      <c r="L130" s="170">
        <f>J129*0.4</f>
        <v>375.6</v>
      </c>
      <c r="M130" s="154"/>
      <c r="N130" s="329"/>
      <c r="O130" s="323"/>
      <c r="P130" s="323"/>
      <c r="Q130" s="323"/>
      <c r="R130" s="166"/>
      <c r="S130" s="201">
        <f>S116</f>
        <v>2020</v>
      </c>
      <c r="T130" s="201">
        <f>T116</f>
        <v>2019</v>
      </c>
    </row>
    <row r="131" spans="1:20" s="155" customFormat="1" ht="15.75">
      <c r="A131" s="167" t="s">
        <v>181</v>
      </c>
      <c r="B131" s="200">
        <v>1332</v>
      </c>
      <c r="C131" s="200">
        <v>1021</v>
      </c>
      <c r="D131" s="200">
        <v>507</v>
      </c>
      <c r="E131" s="200">
        <v>702</v>
      </c>
      <c r="F131" s="200">
        <v>179</v>
      </c>
      <c r="G131" s="200">
        <v>297</v>
      </c>
      <c r="H131" s="200">
        <v>136</v>
      </c>
      <c r="I131" s="200">
        <v>1388</v>
      </c>
      <c r="J131" s="173"/>
      <c r="K131" s="174"/>
      <c r="L131" s="174"/>
      <c r="M131" s="154"/>
      <c r="N131" s="175" t="s">
        <v>67</v>
      </c>
      <c r="O131" s="176">
        <f>SUM(F130,H130,F137,H137)</f>
        <v>468</v>
      </c>
      <c r="P131" s="176">
        <f>SUM(B130,D130,B137,D137,K130)</f>
        <v>930.4000000000001</v>
      </c>
      <c r="Q131" s="177"/>
      <c r="R131" s="178"/>
      <c r="S131" s="179">
        <f>(O131+P131+O132+P132+O138+P138+O139+P139+Q139+Q138)</f>
        <v>8452.96</v>
      </c>
      <c r="T131" s="202">
        <v>11673</v>
      </c>
    </row>
    <row r="132" spans="1:20" s="155" customFormat="1" ht="15.75">
      <c r="A132" s="167" t="s">
        <v>182</v>
      </c>
      <c r="B132" s="200">
        <v>0</v>
      </c>
      <c r="C132" s="200">
        <v>41</v>
      </c>
      <c r="D132" s="200">
        <v>2</v>
      </c>
      <c r="E132" s="200">
        <v>125</v>
      </c>
      <c r="F132" s="200">
        <v>0</v>
      </c>
      <c r="G132" s="200">
        <v>88</v>
      </c>
      <c r="H132" s="200">
        <v>3</v>
      </c>
      <c r="I132" s="200">
        <v>203</v>
      </c>
      <c r="J132" s="173"/>
      <c r="K132" s="174"/>
      <c r="L132" s="174"/>
      <c r="M132" s="154"/>
      <c r="N132" s="175" t="s">
        <v>69</v>
      </c>
      <c r="O132" s="176">
        <f>SUM(G130,I130,G137,I137)</f>
        <v>1495</v>
      </c>
      <c r="P132" s="176">
        <f>SUM(C130,E130,C137,E137,L130)</f>
        <v>596.6</v>
      </c>
      <c r="Q132" s="180"/>
      <c r="R132" s="181"/>
      <c r="S132" s="182" t="s">
        <v>183</v>
      </c>
      <c r="T132" s="183">
        <f>S131-T131</f>
        <v>-3220.040000000001</v>
      </c>
    </row>
    <row r="133" spans="1:20" s="155" customFormat="1" ht="15.75">
      <c r="A133" s="167" t="s">
        <v>184</v>
      </c>
      <c r="B133" s="200">
        <v>95</v>
      </c>
      <c r="C133" s="200">
        <v>77</v>
      </c>
      <c r="D133" s="200">
        <v>27</v>
      </c>
      <c r="E133" s="200">
        <v>29</v>
      </c>
      <c r="F133" s="200">
        <v>0</v>
      </c>
      <c r="G133" s="200">
        <v>10</v>
      </c>
      <c r="H133" s="200">
        <v>0</v>
      </c>
      <c r="I133" s="200">
        <v>0</v>
      </c>
      <c r="J133" s="173"/>
      <c r="K133" s="174"/>
      <c r="L133" s="174"/>
      <c r="M133" s="154"/>
      <c r="O133" s="156"/>
      <c r="P133" s="156"/>
      <c r="Q133" s="156"/>
      <c r="R133" s="157"/>
      <c r="S133" s="184"/>
      <c r="T133" s="185"/>
    </row>
    <row r="134" spans="1:20" s="155" customFormat="1" ht="6" customHeight="1">
      <c r="A134" s="174"/>
      <c r="B134"/>
      <c r="C134"/>
      <c r="D134"/>
      <c r="E134"/>
      <c r="F134"/>
      <c r="G134"/>
      <c r="H134"/>
      <c r="I134"/>
      <c r="J134" s="174"/>
      <c r="K134" s="174"/>
      <c r="L134" s="174"/>
      <c r="M134" s="154"/>
      <c r="O134" s="156"/>
      <c r="P134" s="156"/>
      <c r="Q134" s="156"/>
      <c r="R134" s="157"/>
      <c r="S134" s="184"/>
      <c r="T134" s="185"/>
    </row>
    <row r="135" spans="1:20" s="155" customFormat="1" ht="13.5" customHeight="1">
      <c r="A135" s="160" t="s">
        <v>46</v>
      </c>
      <c r="B135" s="327" t="s">
        <v>169</v>
      </c>
      <c r="C135" s="327"/>
      <c r="D135" s="327" t="s">
        <v>170</v>
      </c>
      <c r="E135" s="327"/>
      <c r="F135" s="328" t="s">
        <v>171</v>
      </c>
      <c r="G135" s="328"/>
      <c r="H135" s="328" t="s">
        <v>172</v>
      </c>
      <c r="I135" s="328"/>
      <c r="J135" s="186"/>
      <c r="K135" s="186"/>
      <c r="L135" s="186"/>
      <c r="M135" s="154"/>
      <c r="N135" s="329" t="s">
        <v>46</v>
      </c>
      <c r="O135" s="330" t="s">
        <v>185</v>
      </c>
      <c r="P135" s="330"/>
      <c r="Q135" s="330"/>
      <c r="R135" s="161"/>
      <c r="S135" s="322">
        <v>2019</v>
      </c>
      <c r="T135" s="322"/>
    </row>
    <row r="136" spans="1:20" s="155" customFormat="1" ht="13.5" customHeight="1">
      <c r="A136" s="162" t="s">
        <v>186</v>
      </c>
      <c r="B136" s="187" t="s">
        <v>175</v>
      </c>
      <c r="C136" s="187" t="s">
        <v>176</v>
      </c>
      <c r="D136" s="187" t="s">
        <v>175</v>
      </c>
      <c r="E136" s="187" t="s">
        <v>176</v>
      </c>
      <c r="F136" s="163" t="s">
        <v>175</v>
      </c>
      <c r="G136" s="163" t="s">
        <v>176</v>
      </c>
      <c r="H136" s="163" t="s">
        <v>175</v>
      </c>
      <c r="I136" s="163" t="s">
        <v>176</v>
      </c>
      <c r="J136" s="186"/>
      <c r="K136" s="186"/>
      <c r="L136" s="186"/>
      <c r="M136" s="154"/>
      <c r="N136" s="329"/>
      <c r="O136" s="323" t="s">
        <v>57</v>
      </c>
      <c r="P136" s="324" t="s">
        <v>187</v>
      </c>
      <c r="Q136" s="324" t="s">
        <v>59</v>
      </c>
      <c r="R136" s="188"/>
      <c r="S136" s="325" t="s">
        <v>57</v>
      </c>
      <c r="T136" s="326" t="s">
        <v>187</v>
      </c>
    </row>
    <row r="137" spans="1:24" s="155" customFormat="1" ht="15.75">
      <c r="A137" s="167" t="s">
        <v>180</v>
      </c>
      <c r="B137" s="200">
        <v>48</v>
      </c>
      <c r="C137" s="200">
        <v>17</v>
      </c>
      <c r="D137" s="200">
        <v>191</v>
      </c>
      <c r="E137" s="200">
        <v>81</v>
      </c>
      <c r="F137" s="200">
        <v>171</v>
      </c>
      <c r="G137" s="200">
        <v>80</v>
      </c>
      <c r="H137" s="200">
        <v>93</v>
      </c>
      <c r="I137" s="200">
        <v>486</v>
      </c>
      <c r="J137" s="173"/>
      <c r="K137" s="174"/>
      <c r="L137" s="174"/>
      <c r="M137" s="154"/>
      <c r="N137" s="329"/>
      <c r="O137" s="323"/>
      <c r="P137" s="323"/>
      <c r="Q137" s="324"/>
      <c r="R137" s="188"/>
      <c r="S137" s="325"/>
      <c r="T137" s="325"/>
      <c r="U137"/>
      <c r="V137"/>
      <c r="W137"/>
      <c r="X137"/>
    </row>
    <row r="138" spans="1:24" s="155" customFormat="1" ht="15.75">
      <c r="A138" s="189" t="s">
        <v>181</v>
      </c>
      <c r="B138" s="200">
        <v>277</v>
      </c>
      <c r="C138" s="200">
        <v>231</v>
      </c>
      <c r="D138" s="200">
        <v>177</v>
      </c>
      <c r="E138" s="200">
        <v>431</v>
      </c>
      <c r="F138" s="200">
        <v>118</v>
      </c>
      <c r="G138" s="200">
        <v>314</v>
      </c>
      <c r="H138" s="200">
        <v>101</v>
      </c>
      <c r="I138" s="200">
        <v>1206</v>
      </c>
      <c r="J138" s="173"/>
      <c r="K138" s="174"/>
      <c r="L138" s="174"/>
      <c r="M138" s="154"/>
      <c r="N138" s="190" t="s">
        <v>67</v>
      </c>
      <c r="O138" s="176">
        <f>SUM(B131,B132,B133,B138,B139)*0.5</f>
        <v>853</v>
      </c>
      <c r="P138" s="176">
        <f>SUM(D131,F131,H131,D133,F133,H133,D138,F138,H138)*0.3</f>
        <v>373.5</v>
      </c>
      <c r="Q138" s="176">
        <f>SUM(D132,F132,H132,D139,F139,H139)*0.8</f>
        <v>10.4</v>
      </c>
      <c r="R138" s="181"/>
      <c r="S138" s="191">
        <v>1074</v>
      </c>
      <c r="T138" s="192">
        <v>472</v>
      </c>
      <c r="U138" s="193">
        <f>O138/S138*1-1</f>
        <v>-0.2057728119180633</v>
      </c>
      <c r="V138" s="193">
        <f>P138/T138*1-1</f>
        <v>-0.20868644067796616</v>
      </c>
      <c r="W138" s="194">
        <f>O138-S138</f>
        <v>-221</v>
      </c>
      <c r="X138" s="194">
        <f>P138-T138</f>
        <v>-98.5</v>
      </c>
    </row>
    <row r="139" spans="1:24" s="155" customFormat="1" ht="15.75">
      <c r="A139" s="189" t="s">
        <v>182</v>
      </c>
      <c r="B139" s="200">
        <v>2</v>
      </c>
      <c r="C139" s="200">
        <v>53</v>
      </c>
      <c r="D139" s="200">
        <v>3</v>
      </c>
      <c r="E139" s="200">
        <v>93</v>
      </c>
      <c r="F139" s="200">
        <v>3</v>
      </c>
      <c r="G139" s="200">
        <v>147</v>
      </c>
      <c r="H139" s="200">
        <v>2</v>
      </c>
      <c r="I139" s="200">
        <v>785</v>
      </c>
      <c r="J139" s="173"/>
      <c r="K139" s="174"/>
      <c r="L139" s="174"/>
      <c r="M139" s="154"/>
      <c r="N139" s="190" t="s">
        <v>69</v>
      </c>
      <c r="O139" s="176">
        <f>SUM(C131,C132,C133,C138,C139)*0.37</f>
        <v>526.51</v>
      </c>
      <c r="P139" s="176">
        <f>SUM(E131,G131,I131,E132,E133,G133,I133,E138,G138,I138,E139)*0.51</f>
        <v>2343.45</v>
      </c>
      <c r="Q139" s="176">
        <f>SUM(G132,I132,G139,I139)*0.7</f>
        <v>856.0999999999999</v>
      </c>
      <c r="R139" s="181"/>
      <c r="S139" s="195">
        <v>653</v>
      </c>
      <c r="T139" s="195">
        <v>2931</v>
      </c>
      <c r="U139" s="193">
        <f>O139/S139*1-1</f>
        <v>-0.19370597243491583</v>
      </c>
      <c r="V139" s="193">
        <f>P139/T139*1-1</f>
        <v>-0.200460593654043</v>
      </c>
      <c r="W139" s="194">
        <f>O139-S139</f>
        <v>-126.49000000000001</v>
      </c>
      <c r="X139" s="194">
        <f>P139-T139</f>
        <v>-587.5500000000002</v>
      </c>
    </row>
    <row r="140" spans="1:20" ht="15.75">
      <c r="A140" s="196"/>
      <c r="J140" s="196"/>
      <c r="K140" s="196"/>
      <c r="L140" s="196"/>
      <c r="M140" s="197"/>
      <c r="N140" s="196"/>
      <c r="O140" s="196"/>
      <c r="P140" s="196"/>
      <c r="Q140" s="196"/>
      <c r="R140" s="196"/>
      <c r="S140" s="198"/>
      <c r="T140" s="199"/>
    </row>
    <row r="141" spans="1:20" s="155" customFormat="1" ht="16.5" customHeight="1">
      <c r="A141" s="152" t="s">
        <v>194</v>
      </c>
      <c r="B141" s="153"/>
      <c r="C141" s="153"/>
      <c r="D141" s="153"/>
      <c r="E141" s="153"/>
      <c r="F141" s="153"/>
      <c r="G141" s="153"/>
      <c r="H141" s="153"/>
      <c r="I141" s="153"/>
      <c r="J141" s="332" t="s">
        <v>167</v>
      </c>
      <c r="K141" s="333" t="s">
        <v>168</v>
      </c>
      <c r="L141" s="333"/>
      <c r="M141" s="154"/>
      <c r="O141" s="156"/>
      <c r="P141" s="156"/>
      <c r="Q141" s="156"/>
      <c r="R141" s="157"/>
      <c r="S141" s="158"/>
      <c r="T141" s="159"/>
    </row>
    <row r="142" spans="1:20" s="155" customFormat="1" ht="14.25" customHeight="1">
      <c r="A142" s="160" t="s">
        <v>46</v>
      </c>
      <c r="B142" s="328" t="s">
        <v>169</v>
      </c>
      <c r="C142" s="328"/>
      <c r="D142" s="328" t="s">
        <v>170</v>
      </c>
      <c r="E142" s="328"/>
      <c r="F142" s="328" t="s">
        <v>171</v>
      </c>
      <c r="G142" s="328"/>
      <c r="H142" s="328" t="s">
        <v>172</v>
      </c>
      <c r="I142" s="328"/>
      <c r="J142" s="332"/>
      <c r="K142" s="334" t="s">
        <v>173</v>
      </c>
      <c r="L142" s="334"/>
      <c r="M142" s="154"/>
      <c r="N142" s="329" t="s">
        <v>46</v>
      </c>
      <c r="O142" s="330" t="s">
        <v>47</v>
      </c>
      <c r="P142" s="330"/>
      <c r="Q142" s="330"/>
      <c r="R142" s="161"/>
      <c r="S142" s="331" t="s">
        <v>131</v>
      </c>
      <c r="T142" s="331"/>
    </row>
    <row r="143" spans="1:20" s="155" customFormat="1" ht="15.75" customHeight="1">
      <c r="A143" s="162" t="s">
        <v>174</v>
      </c>
      <c r="B143" s="163" t="s">
        <v>175</v>
      </c>
      <c r="C143" s="163" t="s">
        <v>176</v>
      </c>
      <c r="D143" s="163" t="s">
        <v>175</v>
      </c>
      <c r="E143" s="163" t="s">
        <v>176</v>
      </c>
      <c r="F143" s="163" t="s">
        <v>175</v>
      </c>
      <c r="G143" s="163" t="s">
        <v>176</v>
      </c>
      <c r="H143" s="163" t="s">
        <v>175</v>
      </c>
      <c r="I143" s="163" t="s">
        <v>176</v>
      </c>
      <c r="J143" s="164">
        <f>SUM(Reb__Est__por_faixa_etária!D15)</f>
        <v>625</v>
      </c>
      <c r="K143" s="165" t="s">
        <v>177</v>
      </c>
      <c r="L143" s="165" t="s">
        <v>178</v>
      </c>
      <c r="M143" s="154"/>
      <c r="N143" s="329"/>
      <c r="O143" s="323" t="s">
        <v>54</v>
      </c>
      <c r="P143" s="323" t="s">
        <v>55</v>
      </c>
      <c r="Q143" s="323" t="s">
        <v>56</v>
      </c>
      <c r="R143" s="166"/>
      <c r="S143" s="331" t="s">
        <v>179</v>
      </c>
      <c r="T143" s="331"/>
    </row>
    <row r="144" spans="1:20" s="155" customFormat="1" ht="15.75">
      <c r="A144" s="167" t="s">
        <v>180</v>
      </c>
      <c r="B144" s="200">
        <v>112</v>
      </c>
      <c r="C144" s="200">
        <v>75</v>
      </c>
      <c r="D144" s="200">
        <v>131</v>
      </c>
      <c r="E144" s="200">
        <v>51</v>
      </c>
      <c r="F144" s="200">
        <v>59</v>
      </c>
      <c r="G144" s="200">
        <v>46</v>
      </c>
      <c r="H144" s="200">
        <v>66</v>
      </c>
      <c r="I144" s="200">
        <v>402</v>
      </c>
      <c r="J144" s="167"/>
      <c r="K144" s="170">
        <f>J143*0.6</f>
        <v>375.00000000000006</v>
      </c>
      <c r="L144" s="170">
        <f>J143*0.4</f>
        <v>250</v>
      </c>
      <c r="M144" s="154"/>
      <c r="N144" s="329"/>
      <c r="O144" s="323"/>
      <c r="P144" s="323"/>
      <c r="Q144" s="323"/>
      <c r="R144" s="166"/>
      <c r="S144" s="201">
        <f>S130</f>
        <v>2020</v>
      </c>
      <c r="T144" s="201">
        <f>T130</f>
        <v>2019</v>
      </c>
    </row>
    <row r="145" spans="1:20" s="155" customFormat="1" ht="15.75">
      <c r="A145" s="167" t="s">
        <v>181</v>
      </c>
      <c r="B145" s="200">
        <v>577</v>
      </c>
      <c r="C145" s="200">
        <v>338</v>
      </c>
      <c r="D145" s="200">
        <v>153</v>
      </c>
      <c r="E145" s="200">
        <v>213</v>
      </c>
      <c r="F145" s="200">
        <v>61</v>
      </c>
      <c r="G145" s="200">
        <v>126</v>
      </c>
      <c r="H145" s="200">
        <v>70</v>
      </c>
      <c r="I145" s="200">
        <v>1058</v>
      </c>
      <c r="J145" s="173"/>
      <c r="K145" s="174"/>
      <c r="L145" s="174"/>
      <c r="M145" s="154"/>
      <c r="N145" s="175" t="s">
        <v>67</v>
      </c>
      <c r="O145" s="176">
        <f>SUM(F144,H144,F151,H151)</f>
        <v>125</v>
      </c>
      <c r="P145" s="176">
        <f>SUM(B144,D144,B151,D151,K144)</f>
        <v>618</v>
      </c>
      <c r="Q145" s="177"/>
      <c r="R145" s="178"/>
      <c r="S145" s="179">
        <f>(O145+P145+O146+P146+O152+P152+O153+P153+Q153+Q152)</f>
        <v>4749.26</v>
      </c>
      <c r="T145" s="202">
        <v>5331</v>
      </c>
    </row>
    <row r="146" spans="1:20" s="155" customFormat="1" ht="15.75">
      <c r="A146" s="167" t="s">
        <v>182</v>
      </c>
      <c r="B146" s="200">
        <v>1</v>
      </c>
      <c r="C146" s="200">
        <v>0</v>
      </c>
      <c r="D146" s="200">
        <v>0</v>
      </c>
      <c r="E146" s="200">
        <v>8</v>
      </c>
      <c r="F146" s="200">
        <v>0</v>
      </c>
      <c r="G146" s="200">
        <v>4</v>
      </c>
      <c r="H146" s="200">
        <v>0</v>
      </c>
      <c r="I146" s="200">
        <v>31</v>
      </c>
      <c r="J146" s="173"/>
      <c r="K146" s="174"/>
      <c r="L146" s="174"/>
      <c r="M146" s="154"/>
      <c r="N146" s="175" t="s">
        <v>69</v>
      </c>
      <c r="O146" s="176">
        <f>SUM(G144,I144,G151,I151)</f>
        <v>448</v>
      </c>
      <c r="P146" s="176">
        <f>SUM(C144,E144,C151,E151,L144)</f>
        <v>376</v>
      </c>
      <c r="Q146" s="180"/>
      <c r="R146" s="181"/>
      <c r="S146" s="182" t="s">
        <v>183</v>
      </c>
      <c r="T146" s="183">
        <f>S145-T145</f>
        <v>-581.7399999999998</v>
      </c>
    </row>
    <row r="147" spans="1:20" s="155" customFormat="1" ht="15.75">
      <c r="A147" s="167" t="s">
        <v>184</v>
      </c>
      <c r="B147" s="200">
        <v>20</v>
      </c>
      <c r="C147" s="200">
        <v>0</v>
      </c>
      <c r="D147" s="200">
        <v>0</v>
      </c>
      <c r="E147" s="200">
        <v>20</v>
      </c>
      <c r="F147" s="200">
        <v>0</v>
      </c>
      <c r="G147" s="200">
        <v>0</v>
      </c>
      <c r="H147" s="200">
        <v>0</v>
      </c>
      <c r="I147" s="200">
        <v>0</v>
      </c>
      <c r="J147" s="173"/>
      <c r="K147" s="174"/>
      <c r="L147" s="174"/>
      <c r="M147" s="154"/>
      <c r="O147" s="156"/>
      <c r="P147" s="156"/>
      <c r="Q147" s="156"/>
      <c r="R147" s="157"/>
      <c r="S147" s="184"/>
      <c r="T147" s="185"/>
    </row>
    <row r="148" spans="1:20" s="155" customFormat="1" ht="6" customHeight="1">
      <c r="A148" s="174"/>
      <c r="B148"/>
      <c r="C148"/>
      <c r="D148"/>
      <c r="E148"/>
      <c r="F148"/>
      <c r="G148"/>
      <c r="H148"/>
      <c r="I148"/>
      <c r="J148" s="174"/>
      <c r="K148" s="174"/>
      <c r="L148" s="174"/>
      <c r="M148" s="154"/>
      <c r="O148" s="156"/>
      <c r="P148" s="156"/>
      <c r="Q148" s="156"/>
      <c r="R148" s="157"/>
      <c r="S148" s="184"/>
      <c r="T148" s="185"/>
    </row>
    <row r="149" spans="1:20" s="155" customFormat="1" ht="13.5" customHeight="1">
      <c r="A149" s="160" t="s">
        <v>46</v>
      </c>
      <c r="B149" s="327" t="s">
        <v>169</v>
      </c>
      <c r="C149" s="327"/>
      <c r="D149" s="327" t="s">
        <v>170</v>
      </c>
      <c r="E149" s="327"/>
      <c r="F149" s="328" t="s">
        <v>171</v>
      </c>
      <c r="G149" s="328"/>
      <c r="H149" s="328" t="s">
        <v>172</v>
      </c>
      <c r="I149" s="328"/>
      <c r="J149" s="186"/>
      <c r="K149" s="186"/>
      <c r="L149" s="186"/>
      <c r="M149" s="154"/>
      <c r="N149" s="329" t="s">
        <v>46</v>
      </c>
      <c r="O149" s="330" t="s">
        <v>185</v>
      </c>
      <c r="P149" s="330"/>
      <c r="Q149" s="330"/>
      <c r="R149" s="161"/>
      <c r="S149" s="322">
        <v>2019</v>
      </c>
      <c r="T149" s="322"/>
    </row>
    <row r="150" spans="1:20" s="155" customFormat="1" ht="13.5" customHeight="1">
      <c r="A150" s="162" t="s">
        <v>186</v>
      </c>
      <c r="B150" s="187" t="s">
        <v>175</v>
      </c>
      <c r="C150" s="187" t="s">
        <v>176</v>
      </c>
      <c r="D150" s="187" t="s">
        <v>175</v>
      </c>
      <c r="E150" s="187" t="s">
        <v>176</v>
      </c>
      <c r="F150" s="163" t="s">
        <v>175</v>
      </c>
      <c r="G150" s="163" t="s">
        <v>176</v>
      </c>
      <c r="H150" s="163" t="s">
        <v>175</v>
      </c>
      <c r="I150" s="163" t="s">
        <v>176</v>
      </c>
      <c r="J150" s="186"/>
      <c r="K150" s="186"/>
      <c r="L150" s="186"/>
      <c r="M150" s="154"/>
      <c r="N150" s="329"/>
      <c r="O150" s="323" t="s">
        <v>57</v>
      </c>
      <c r="P150" s="324" t="s">
        <v>187</v>
      </c>
      <c r="Q150" s="324" t="s">
        <v>59</v>
      </c>
      <c r="R150" s="188"/>
      <c r="S150" s="325" t="s">
        <v>57</v>
      </c>
      <c r="T150" s="326" t="s">
        <v>187</v>
      </c>
    </row>
    <row r="151" spans="1:24" s="155" customFormat="1" ht="15.75">
      <c r="A151" s="167" t="s">
        <v>180</v>
      </c>
      <c r="B151" s="204"/>
      <c r="C151" s="204"/>
      <c r="D151" s="204"/>
      <c r="E151" s="204"/>
      <c r="F151" s="205"/>
      <c r="G151" s="205"/>
      <c r="H151" s="205"/>
      <c r="I151" s="205"/>
      <c r="J151" s="173"/>
      <c r="K151" s="174"/>
      <c r="L151" s="174"/>
      <c r="M151" s="154"/>
      <c r="N151" s="329"/>
      <c r="O151" s="323"/>
      <c r="P151" s="323"/>
      <c r="Q151" s="324"/>
      <c r="R151" s="188"/>
      <c r="S151" s="325"/>
      <c r="T151" s="325"/>
      <c r="U151"/>
      <c r="V151"/>
      <c r="W151"/>
      <c r="X151"/>
    </row>
    <row r="152" spans="1:24" s="155" customFormat="1" ht="15.75">
      <c r="A152" s="189" t="s">
        <v>181</v>
      </c>
      <c r="B152" s="200">
        <v>368</v>
      </c>
      <c r="C152" s="200">
        <v>289</v>
      </c>
      <c r="D152" s="200">
        <v>100</v>
      </c>
      <c r="E152" s="200">
        <v>190</v>
      </c>
      <c r="F152" s="200">
        <v>53</v>
      </c>
      <c r="G152" s="200">
        <v>137</v>
      </c>
      <c r="H152" s="200">
        <v>37</v>
      </c>
      <c r="I152" s="200">
        <v>651</v>
      </c>
      <c r="J152" s="173"/>
      <c r="K152" s="174"/>
      <c r="L152" s="174"/>
      <c r="M152" s="154"/>
      <c r="N152" s="190" t="s">
        <v>67</v>
      </c>
      <c r="O152" s="176">
        <f>SUM(B145,B146,B147,B152,B153)*0.48</f>
        <v>465.12</v>
      </c>
      <c r="P152" s="176">
        <f>SUM(D145,F145,H145,D147,F147,H147,D152,F152,H152)*0.66</f>
        <v>312.84000000000003</v>
      </c>
      <c r="Q152" s="176">
        <f>SUM(D146,F146,H146,D153,F153,H153)</f>
        <v>0</v>
      </c>
      <c r="R152" s="181"/>
      <c r="S152" s="191">
        <v>573</v>
      </c>
      <c r="T152" s="192">
        <v>387</v>
      </c>
      <c r="U152" s="193">
        <f>O152/S152*1-1</f>
        <v>-0.18827225130890046</v>
      </c>
      <c r="V152" s="193">
        <f>P152/T152*1-1</f>
        <v>-0.19162790697674414</v>
      </c>
      <c r="W152" s="194">
        <f>O152-S152</f>
        <v>-107.88</v>
      </c>
      <c r="X152" s="194">
        <f>P152-T152</f>
        <v>-74.15999999999997</v>
      </c>
    </row>
    <row r="153" spans="1:24" s="155" customFormat="1" ht="15.75">
      <c r="A153" s="189" t="s">
        <v>182</v>
      </c>
      <c r="B153" s="200">
        <v>3</v>
      </c>
      <c r="C153" s="200">
        <v>2</v>
      </c>
      <c r="D153" s="200">
        <v>0</v>
      </c>
      <c r="E153" s="200">
        <v>0</v>
      </c>
      <c r="F153" s="200">
        <v>0</v>
      </c>
      <c r="G153" s="200">
        <v>0</v>
      </c>
      <c r="H153" s="200">
        <v>0</v>
      </c>
      <c r="I153" s="200">
        <v>17</v>
      </c>
      <c r="J153" s="173"/>
      <c r="K153" s="174"/>
      <c r="L153" s="174"/>
      <c r="M153" s="154"/>
      <c r="N153" s="190" t="s">
        <v>69</v>
      </c>
      <c r="O153" s="176">
        <f>SUM(C145,C146,C147,C152,C153)*0.7</f>
        <v>440.29999999999995</v>
      </c>
      <c r="P153" s="176">
        <f>SUM(E145,G145,I145,E146,E147,G147,I147,E152,G152,I152,E153)*0.8</f>
        <v>1922.4</v>
      </c>
      <c r="Q153" s="176">
        <f>SUM(G146,I146,G153,I153)*0.8</f>
        <v>41.6</v>
      </c>
      <c r="R153" s="181"/>
      <c r="S153" s="195">
        <v>549</v>
      </c>
      <c r="T153" s="195">
        <v>2604</v>
      </c>
      <c r="U153" s="193">
        <f>O153/S153*1-1</f>
        <v>-0.19799635701275053</v>
      </c>
      <c r="V153" s="193">
        <f>P153/T153*1-1</f>
        <v>-0.2617511520737327</v>
      </c>
      <c r="W153" s="194">
        <f>O153-S153</f>
        <v>-108.70000000000005</v>
      </c>
      <c r="X153" s="194">
        <f>P153-T153</f>
        <v>-681.5999999999999</v>
      </c>
    </row>
    <row r="154" spans="1:20" ht="15.75">
      <c r="A154" s="196"/>
      <c r="J154" s="196"/>
      <c r="K154" s="196"/>
      <c r="L154" s="196"/>
      <c r="M154" s="197"/>
      <c r="N154" s="196"/>
      <c r="O154" s="196"/>
      <c r="P154" s="196"/>
      <c r="Q154" s="196"/>
      <c r="R154" s="196"/>
      <c r="S154" s="198"/>
      <c r="T154" s="199"/>
    </row>
    <row r="155" spans="1:20" s="155" customFormat="1" ht="16.5" customHeight="1">
      <c r="A155" s="152" t="s">
        <v>195</v>
      </c>
      <c r="B155" s="153"/>
      <c r="C155" s="153"/>
      <c r="D155" s="153"/>
      <c r="E155" s="153"/>
      <c r="F155" s="153"/>
      <c r="G155" s="153"/>
      <c r="H155" s="153"/>
      <c r="I155" s="153"/>
      <c r="J155" s="332" t="s">
        <v>167</v>
      </c>
      <c r="K155" s="333" t="s">
        <v>168</v>
      </c>
      <c r="L155" s="333"/>
      <c r="M155" s="154"/>
      <c r="O155" s="156"/>
      <c r="P155" s="156"/>
      <c r="Q155" s="156"/>
      <c r="R155" s="157"/>
      <c r="S155" s="158"/>
      <c r="T155" s="159"/>
    </row>
    <row r="156" spans="1:20" s="155" customFormat="1" ht="14.25" customHeight="1">
      <c r="A156" s="160" t="s">
        <v>46</v>
      </c>
      <c r="B156" s="328" t="s">
        <v>169</v>
      </c>
      <c r="C156" s="328"/>
      <c r="D156" s="328" t="s">
        <v>170</v>
      </c>
      <c r="E156" s="328"/>
      <c r="F156" s="328" t="s">
        <v>171</v>
      </c>
      <c r="G156" s="328"/>
      <c r="H156" s="328" t="s">
        <v>172</v>
      </c>
      <c r="I156" s="328"/>
      <c r="J156" s="332"/>
      <c r="K156" s="334" t="s">
        <v>173</v>
      </c>
      <c r="L156" s="334"/>
      <c r="M156" s="154"/>
      <c r="N156" s="329" t="s">
        <v>46</v>
      </c>
      <c r="O156" s="330" t="s">
        <v>47</v>
      </c>
      <c r="P156" s="330"/>
      <c r="Q156" s="330"/>
      <c r="R156" s="161"/>
      <c r="S156" s="331" t="s">
        <v>131</v>
      </c>
      <c r="T156" s="331"/>
    </row>
    <row r="157" spans="1:20" s="155" customFormat="1" ht="15.75" customHeight="1">
      <c r="A157" s="162" t="s">
        <v>174</v>
      </c>
      <c r="B157" s="163" t="s">
        <v>175</v>
      </c>
      <c r="C157" s="163" t="s">
        <v>176</v>
      </c>
      <c r="D157" s="163" t="s">
        <v>175</v>
      </c>
      <c r="E157" s="163" t="s">
        <v>176</v>
      </c>
      <c r="F157" s="163" t="s">
        <v>175</v>
      </c>
      <c r="G157" s="163" t="s">
        <v>176</v>
      </c>
      <c r="H157" s="163" t="s">
        <v>175</v>
      </c>
      <c r="I157" s="163" t="s">
        <v>176</v>
      </c>
      <c r="J157" s="164">
        <f>SUM(Reb__Est__por_faixa_etária!D16)</f>
        <v>346</v>
      </c>
      <c r="K157" s="165" t="s">
        <v>177</v>
      </c>
      <c r="L157" s="165" t="s">
        <v>178</v>
      </c>
      <c r="M157" s="154"/>
      <c r="N157" s="329"/>
      <c r="O157" s="323" t="s">
        <v>54</v>
      </c>
      <c r="P157" s="323" t="s">
        <v>55</v>
      </c>
      <c r="Q157" s="323" t="s">
        <v>56</v>
      </c>
      <c r="R157" s="166"/>
      <c r="S157" s="331" t="s">
        <v>179</v>
      </c>
      <c r="T157" s="331"/>
    </row>
    <row r="158" spans="1:20" s="155" customFormat="1" ht="15.75">
      <c r="A158" s="167" t="s">
        <v>180</v>
      </c>
      <c r="B158" s="200">
        <v>2</v>
      </c>
      <c r="C158" s="200">
        <v>3</v>
      </c>
      <c r="D158" s="200">
        <v>422</v>
      </c>
      <c r="E158" s="200">
        <v>114</v>
      </c>
      <c r="F158" s="200">
        <v>58</v>
      </c>
      <c r="G158" s="200">
        <v>136</v>
      </c>
      <c r="H158" s="200">
        <v>66</v>
      </c>
      <c r="I158" s="200">
        <v>471</v>
      </c>
      <c r="J158" s="167"/>
      <c r="K158" s="170">
        <f>J157*0.6</f>
        <v>207.60000000000002</v>
      </c>
      <c r="L158" s="170">
        <f>J157*0.4</f>
        <v>138.4</v>
      </c>
      <c r="M158" s="154"/>
      <c r="N158" s="329"/>
      <c r="O158" s="323"/>
      <c r="P158" s="323"/>
      <c r="Q158" s="323"/>
      <c r="R158" s="166"/>
      <c r="S158" s="201">
        <f>S144</f>
        <v>2020</v>
      </c>
      <c r="T158" s="201">
        <f>T144</f>
        <v>2019</v>
      </c>
    </row>
    <row r="159" spans="1:20" s="155" customFormat="1" ht="15.75">
      <c r="A159" s="167" t="s">
        <v>181</v>
      </c>
      <c r="B159" s="200">
        <v>1327</v>
      </c>
      <c r="C159" s="200">
        <v>922</v>
      </c>
      <c r="D159" s="200">
        <v>464</v>
      </c>
      <c r="E159" s="200">
        <v>410</v>
      </c>
      <c r="F159" s="200">
        <v>59</v>
      </c>
      <c r="G159" s="200">
        <v>173</v>
      </c>
      <c r="H159" s="200">
        <v>140</v>
      </c>
      <c r="I159" s="200">
        <v>1069</v>
      </c>
      <c r="J159" s="173"/>
      <c r="K159" s="174"/>
      <c r="L159" s="174"/>
      <c r="M159" s="154"/>
      <c r="N159" s="175" t="s">
        <v>67</v>
      </c>
      <c r="O159" s="176">
        <f>SUM(F158,H158,F165,H165)</f>
        <v>124</v>
      </c>
      <c r="P159" s="176">
        <f>SUM(B158,D158,B165,D165,K158)</f>
        <v>631.6</v>
      </c>
      <c r="Q159" s="177"/>
      <c r="R159" s="178"/>
      <c r="S159" s="179">
        <f>(O159+P159+O160+P160+O166+P166+O167+P167+Q167+Q166)</f>
        <v>8460.92</v>
      </c>
      <c r="T159" s="202">
        <v>9489</v>
      </c>
    </row>
    <row r="160" spans="1:20" s="155" customFormat="1" ht="15.75">
      <c r="A160" s="167" t="s">
        <v>182</v>
      </c>
      <c r="B160" s="200">
        <v>0</v>
      </c>
      <c r="C160" s="200">
        <v>95</v>
      </c>
      <c r="D160" s="200">
        <v>3</v>
      </c>
      <c r="E160" s="200">
        <v>260</v>
      </c>
      <c r="F160" s="200">
        <v>8</v>
      </c>
      <c r="G160" s="200">
        <v>271</v>
      </c>
      <c r="H160" s="200">
        <v>4</v>
      </c>
      <c r="I160" s="200">
        <v>927</v>
      </c>
      <c r="J160" s="173"/>
      <c r="K160" s="174"/>
      <c r="L160" s="174"/>
      <c r="M160" s="154"/>
      <c r="N160" s="175" t="s">
        <v>69</v>
      </c>
      <c r="O160" s="176">
        <f>SUM(G158,I158,G165,I165)</f>
        <v>607</v>
      </c>
      <c r="P160" s="176">
        <f>SUM(C158,E158,C165,E165,L158)</f>
        <v>255.4</v>
      </c>
      <c r="Q160" s="180"/>
      <c r="R160" s="181"/>
      <c r="S160" s="182" t="s">
        <v>183</v>
      </c>
      <c r="T160" s="183">
        <f>S159-T159</f>
        <v>-1028.08</v>
      </c>
    </row>
    <row r="161" spans="1:20" s="155" customFormat="1" ht="15.75">
      <c r="A161" s="167" t="s">
        <v>184</v>
      </c>
      <c r="B161" s="200">
        <v>4</v>
      </c>
      <c r="C161" s="200">
        <v>6</v>
      </c>
      <c r="D161" s="200">
        <v>40</v>
      </c>
      <c r="E161" s="200">
        <v>0</v>
      </c>
      <c r="F161" s="200">
        <v>0</v>
      </c>
      <c r="G161" s="200">
        <v>0</v>
      </c>
      <c r="H161" s="200">
        <v>0</v>
      </c>
      <c r="I161" s="200">
        <v>0</v>
      </c>
      <c r="J161" s="173"/>
      <c r="K161" s="174"/>
      <c r="L161" s="174"/>
      <c r="M161" s="154"/>
      <c r="O161" s="156"/>
      <c r="P161" s="156"/>
      <c r="Q161" s="156"/>
      <c r="R161" s="157"/>
      <c r="S161" s="184"/>
      <c r="T161" s="185"/>
    </row>
    <row r="162" spans="1:20" s="155" customFormat="1" ht="6" customHeight="1">
      <c r="A162" s="174"/>
      <c r="B162"/>
      <c r="C162"/>
      <c r="D162"/>
      <c r="E162"/>
      <c r="F162"/>
      <c r="G162"/>
      <c r="H162"/>
      <c r="I162"/>
      <c r="J162" s="174"/>
      <c r="K162" s="174"/>
      <c r="L162" s="174"/>
      <c r="M162" s="154"/>
      <c r="O162" s="156"/>
      <c r="P162" s="156"/>
      <c r="Q162" s="156"/>
      <c r="R162" s="157"/>
      <c r="S162" s="184"/>
      <c r="T162" s="185"/>
    </row>
    <row r="163" spans="1:20" s="155" customFormat="1" ht="15.75">
      <c r="A163" s="160" t="s">
        <v>46</v>
      </c>
      <c r="B163" s="327" t="s">
        <v>169</v>
      </c>
      <c r="C163" s="327"/>
      <c r="D163" s="327" t="s">
        <v>170</v>
      </c>
      <c r="E163" s="327"/>
      <c r="F163" s="328" t="s">
        <v>171</v>
      </c>
      <c r="G163" s="328"/>
      <c r="H163" s="328" t="s">
        <v>172</v>
      </c>
      <c r="I163" s="328"/>
      <c r="J163" s="186"/>
      <c r="K163" s="186"/>
      <c r="L163" s="186"/>
      <c r="M163" s="154"/>
      <c r="N163" s="329" t="s">
        <v>46</v>
      </c>
      <c r="O163" s="330" t="s">
        <v>185</v>
      </c>
      <c r="P163" s="330"/>
      <c r="Q163" s="330"/>
      <c r="R163" s="161"/>
      <c r="S163" s="322">
        <v>2019</v>
      </c>
      <c r="T163" s="322"/>
    </row>
    <row r="164" spans="1:20" s="155" customFormat="1" ht="13.5" customHeight="1">
      <c r="A164" s="162" t="s">
        <v>186</v>
      </c>
      <c r="B164" s="187" t="s">
        <v>175</v>
      </c>
      <c r="C164" s="187" t="s">
        <v>176</v>
      </c>
      <c r="D164" s="187" t="s">
        <v>175</v>
      </c>
      <c r="E164" s="187" t="s">
        <v>176</v>
      </c>
      <c r="F164" s="163" t="s">
        <v>175</v>
      </c>
      <c r="G164" s="163" t="s">
        <v>176</v>
      </c>
      <c r="H164" s="163" t="s">
        <v>175</v>
      </c>
      <c r="I164" s="163" t="s">
        <v>176</v>
      </c>
      <c r="J164" s="186"/>
      <c r="K164" s="186"/>
      <c r="L164" s="186"/>
      <c r="M164" s="154"/>
      <c r="N164" s="329"/>
      <c r="O164" s="323" t="s">
        <v>57</v>
      </c>
      <c r="P164" s="324" t="s">
        <v>187</v>
      </c>
      <c r="Q164" s="324" t="s">
        <v>59</v>
      </c>
      <c r="R164" s="188"/>
      <c r="S164" s="325" t="s">
        <v>57</v>
      </c>
      <c r="T164" s="326" t="s">
        <v>187</v>
      </c>
    </row>
    <row r="165" spans="1:24" s="155" customFormat="1" ht="15.75">
      <c r="A165" s="167" t="s">
        <v>180</v>
      </c>
      <c r="B165" s="204"/>
      <c r="C165" s="204"/>
      <c r="D165" s="204"/>
      <c r="E165" s="204"/>
      <c r="F165" s="205"/>
      <c r="G165" s="205"/>
      <c r="H165" s="205"/>
      <c r="I165" s="205"/>
      <c r="J165" s="173"/>
      <c r="K165" s="174"/>
      <c r="L165" s="174"/>
      <c r="M165" s="154"/>
      <c r="N165" s="329"/>
      <c r="O165" s="323"/>
      <c r="P165" s="323"/>
      <c r="Q165" s="324"/>
      <c r="R165" s="188"/>
      <c r="S165" s="325"/>
      <c r="T165" s="325"/>
      <c r="U165"/>
      <c r="V165"/>
      <c r="W165"/>
      <c r="X165"/>
    </row>
    <row r="166" spans="1:24" s="155" customFormat="1" ht="15.75">
      <c r="A166" s="189" t="s">
        <v>181</v>
      </c>
      <c r="B166" s="200">
        <v>590</v>
      </c>
      <c r="C166" s="200">
        <v>644</v>
      </c>
      <c r="D166" s="200">
        <v>261</v>
      </c>
      <c r="E166" s="200">
        <v>490</v>
      </c>
      <c r="F166" s="200">
        <v>38</v>
      </c>
      <c r="G166" s="200">
        <v>130</v>
      </c>
      <c r="H166" s="200">
        <v>58</v>
      </c>
      <c r="I166" s="200">
        <v>846</v>
      </c>
      <c r="J166" s="173"/>
      <c r="K166" s="174"/>
      <c r="L166" s="174"/>
      <c r="M166" s="154"/>
      <c r="N166" s="190" t="s">
        <v>67</v>
      </c>
      <c r="O166" s="176">
        <f>SUM(B159,B160,B161,B166,B167)*0.65</f>
        <v>1248.65</v>
      </c>
      <c r="P166" s="176">
        <f>SUM(D159,F159,H159,D161,F161,H161,D166,F166,H166)*0.8</f>
        <v>848</v>
      </c>
      <c r="Q166" s="176">
        <f>SUM(D160,F160,H160,D167,F167,H167)*0.8</f>
        <v>13.600000000000001</v>
      </c>
      <c r="R166" s="181"/>
      <c r="S166" s="191">
        <v>1575</v>
      </c>
      <c r="T166" s="192">
        <v>1078</v>
      </c>
      <c r="U166" s="193">
        <f>O166/S166*1-1</f>
        <v>-0.20720634920634917</v>
      </c>
      <c r="V166" s="193">
        <f>P166/T166*1-1</f>
        <v>-0.2133580705009277</v>
      </c>
      <c r="W166" s="194">
        <f>O166-S166</f>
        <v>-326.3499999999999</v>
      </c>
      <c r="X166" s="194">
        <f>P166-T166</f>
        <v>-230</v>
      </c>
    </row>
    <row r="167" spans="1:24" s="155" customFormat="1" ht="15.75">
      <c r="A167" s="189" t="s">
        <v>182</v>
      </c>
      <c r="B167" s="200">
        <v>0</v>
      </c>
      <c r="C167" s="200">
        <v>0</v>
      </c>
      <c r="D167" s="200">
        <v>0</v>
      </c>
      <c r="E167" s="200">
        <v>1</v>
      </c>
      <c r="F167" s="200">
        <v>0</v>
      </c>
      <c r="G167" s="200">
        <v>6</v>
      </c>
      <c r="H167" s="200">
        <v>2</v>
      </c>
      <c r="I167" s="200">
        <v>128</v>
      </c>
      <c r="J167" s="173"/>
      <c r="K167" s="174"/>
      <c r="L167" s="174"/>
      <c r="M167" s="154"/>
      <c r="N167" s="190" t="s">
        <v>69</v>
      </c>
      <c r="O167" s="176">
        <f>SUM(C159,C160,C161,C166,C167)*0.8</f>
        <v>1333.6000000000001</v>
      </c>
      <c r="P167" s="176">
        <f>SUM(E159,G159,I159,E160,E161,G161,I161,E166,G166,I166,E167)*0.73</f>
        <v>2466.67</v>
      </c>
      <c r="Q167" s="176">
        <f>SUM(G160,I160,G167,I167)*0.7</f>
        <v>932.4</v>
      </c>
      <c r="R167" s="181"/>
      <c r="S167" s="195">
        <v>2296</v>
      </c>
      <c r="T167" s="195">
        <v>3098</v>
      </c>
      <c r="U167" s="193">
        <f>O167/S167*1-1</f>
        <v>-0.41916376306620207</v>
      </c>
      <c r="V167" s="193">
        <f>P167/T167*1-1</f>
        <v>-0.2037863137508069</v>
      </c>
      <c r="W167" s="194">
        <f>O167-S167</f>
        <v>-962.3999999999999</v>
      </c>
      <c r="X167" s="194">
        <f>P167-T167</f>
        <v>-631.3299999999999</v>
      </c>
    </row>
    <row r="168" spans="1:20" ht="15.75">
      <c r="A168" s="196"/>
      <c r="J168" s="196"/>
      <c r="K168" s="196"/>
      <c r="L168" s="196"/>
      <c r="M168" s="197"/>
      <c r="N168" s="196"/>
      <c r="O168" s="196"/>
      <c r="P168" s="196"/>
      <c r="Q168" s="196"/>
      <c r="R168" s="196"/>
      <c r="S168" s="198"/>
      <c r="T168" s="199"/>
    </row>
    <row r="169" spans="1:20" s="155" customFormat="1" ht="16.5" customHeight="1">
      <c r="A169" s="152" t="s">
        <v>101</v>
      </c>
      <c r="B169" s="153"/>
      <c r="C169" s="153"/>
      <c r="D169" s="153"/>
      <c r="E169" s="153"/>
      <c r="F169" s="153"/>
      <c r="G169" s="153"/>
      <c r="H169" s="153"/>
      <c r="I169" s="153"/>
      <c r="J169" s="332" t="s">
        <v>167</v>
      </c>
      <c r="K169" s="333" t="s">
        <v>168</v>
      </c>
      <c r="L169" s="333"/>
      <c r="M169" s="154"/>
      <c r="O169" s="156"/>
      <c r="P169" s="156"/>
      <c r="Q169" s="156"/>
      <c r="R169" s="157"/>
      <c r="S169" s="158"/>
      <c r="T169" s="159"/>
    </row>
    <row r="170" spans="1:20" s="155" customFormat="1" ht="14.25" customHeight="1">
      <c r="A170" s="160" t="s">
        <v>46</v>
      </c>
      <c r="B170" s="328" t="s">
        <v>169</v>
      </c>
      <c r="C170" s="328"/>
      <c r="D170" s="328" t="s">
        <v>170</v>
      </c>
      <c r="E170" s="328"/>
      <c r="F170" s="328" t="s">
        <v>171</v>
      </c>
      <c r="G170" s="328"/>
      <c r="H170" s="328" t="s">
        <v>172</v>
      </c>
      <c r="I170" s="328"/>
      <c r="J170" s="332"/>
      <c r="K170" s="334" t="s">
        <v>173</v>
      </c>
      <c r="L170" s="334"/>
      <c r="M170" s="154"/>
      <c r="N170" s="329" t="s">
        <v>46</v>
      </c>
      <c r="O170" s="330" t="s">
        <v>47</v>
      </c>
      <c r="P170" s="330"/>
      <c r="Q170" s="330"/>
      <c r="R170" s="161"/>
      <c r="S170" s="331" t="s">
        <v>131</v>
      </c>
      <c r="T170" s="331"/>
    </row>
    <row r="171" spans="1:20" s="155" customFormat="1" ht="15.75" customHeight="1">
      <c r="A171" s="162" t="s">
        <v>174</v>
      </c>
      <c r="B171" s="163" t="s">
        <v>175</v>
      </c>
      <c r="C171" s="163" t="s">
        <v>176</v>
      </c>
      <c r="D171" s="163" t="s">
        <v>175</v>
      </c>
      <c r="E171" s="163" t="s">
        <v>176</v>
      </c>
      <c r="F171" s="163" t="s">
        <v>175</v>
      </c>
      <c r="G171" s="163" t="s">
        <v>176</v>
      </c>
      <c r="H171" s="163" t="s">
        <v>175</v>
      </c>
      <c r="I171" s="163" t="s">
        <v>176</v>
      </c>
      <c r="J171" s="164">
        <f>SUM(Reb__Est__por_faixa_etária!D17)</f>
        <v>1313</v>
      </c>
      <c r="K171" s="165" t="s">
        <v>177</v>
      </c>
      <c r="L171" s="165" t="s">
        <v>178</v>
      </c>
      <c r="M171" s="154"/>
      <c r="N171" s="329"/>
      <c r="O171" s="323" t="s">
        <v>54</v>
      </c>
      <c r="P171" s="323" t="s">
        <v>55</v>
      </c>
      <c r="Q171" s="323" t="s">
        <v>56</v>
      </c>
      <c r="R171" s="166"/>
      <c r="S171" s="331" t="s">
        <v>179</v>
      </c>
      <c r="T171" s="331"/>
    </row>
    <row r="172" spans="1:20" s="155" customFormat="1" ht="15.75">
      <c r="A172" s="167" t="s">
        <v>180</v>
      </c>
      <c r="B172" s="200">
        <v>34</v>
      </c>
      <c r="C172" s="200">
        <v>19</v>
      </c>
      <c r="D172" s="200">
        <v>273</v>
      </c>
      <c r="E172" s="200">
        <v>99</v>
      </c>
      <c r="F172" s="200">
        <v>78</v>
      </c>
      <c r="G172" s="200">
        <v>54</v>
      </c>
      <c r="H172" s="200">
        <v>24</v>
      </c>
      <c r="I172" s="200">
        <v>102</v>
      </c>
      <c r="J172" s="167"/>
      <c r="K172" s="170">
        <f>J171*0.6</f>
        <v>787.8000000000001</v>
      </c>
      <c r="L172" s="170">
        <f>J171*0.4</f>
        <v>525.2</v>
      </c>
      <c r="M172" s="154"/>
      <c r="N172" s="329"/>
      <c r="O172" s="323"/>
      <c r="P172" s="323"/>
      <c r="Q172" s="323"/>
      <c r="R172" s="166"/>
      <c r="S172" s="201">
        <f>S158</f>
        <v>2020</v>
      </c>
      <c r="T172" s="201">
        <f>T158</f>
        <v>2019</v>
      </c>
    </row>
    <row r="173" spans="1:20" s="155" customFormat="1" ht="15.75">
      <c r="A173" s="167" t="s">
        <v>181</v>
      </c>
      <c r="B173" s="200">
        <v>2532</v>
      </c>
      <c r="C173" s="200">
        <v>1064</v>
      </c>
      <c r="D173" s="200">
        <v>621</v>
      </c>
      <c r="E173" s="200">
        <v>654</v>
      </c>
      <c r="F173" s="200">
        <v>240</v>
      </c>
      <c r="G173" s="200">
        <v>293</v>
      </c>
      <c r="H173" s="200">
        <v>99</v>
      </c>
      <c r="I173" s="200">
        <v>1621</v>
      </c>
      <c r="J173" s="173"/>
      <c r="K173" s="174"/>
      <c r="L173" s="174"/>
      <c r="M173" s="154"/>
      <c r="N173" s="175" t="s">
        <v>67</v>
      </c>
      <c r="O173" s="176">
        <f>SUM(F172,H172,F179,H179)</f>
        <v>256</v>
      </c>
      <c r="P173" s="176">
        <f>SUM(B172,D172,B179,D179,K172)</f>
        <v>1278.8000000000002</v>
      </c>
      <c r="Q173" s="177"/>
      <c r="R173" s="178"/>
      <c r="S173" s="179">
        <f>(O173+P173+O174+P174+O180+P180+O181+P181+Q181+Q180)</f>
        <v>11647.329999999998</v>
      </c>
      <c r="T173" s="202">
        <v>12688</v>
      </c>
    </row>
    <row r="174" spans="1:20" s="155" customFormat="1" ht="15.75">
      <c r="A174" s="167" t="s">
        <v>182</v>
      </c>
      <c r="B174" s="200">
        <v>4</v>
      </c>
      <c r="C174" s="200">
        <v>2</v>
      </c>
      <c r="D174" s="200">
        <v>2</v>
      </c>
      <c r="E174" s="200">
        <v>28</v>
      </c>
      <c r="F174" s="200">
        <v>0</v>
      </c>
      <c r="G174" s="200">
        <v>35</v>
      </c>
      <c r="H174" s="200">
        <v>1</v>
      </c>
      <c r="I174" s="200">
        <v>233</v>
      </c>
      <c r="J174" s="173"/>
      <c r="K174" s="174"/>
      <c r="L174" s="174"/>
      <c r="M174" s="154"/>
      <c r="N174" s="175" t="s">
        <v>69</v>
      </c>
      <c r="O174" s="176">
        <f>SUM(G172,I172,G179,I179)</f>
        <v>453</v>
      </c>
      <c r="P174" s="176">
        <f>SUM(C172,E172,C179,E179,L172)</f>
        <v>785.2</v>
      </c>
      <c r="Q174" s="180"/>
      <c r="R174" s="181"/>
      <c r="S174" s="182" t="s">
        <v>183</v>
      </c>
      <c r="T174" s="183">
        <f>S173-T173</f>
        <v>-1040.670000000002</v>
      </c>
    </row>
    <row r="175" spans="1:20" s="155" customFormat="1" ht="15.75">
      <c r="A175" s="167" t="s">
        <v>184</v>
      </c>
      <c r="B175" s="200">
        <v>12</v>
      </c>
      <c r="C175" s="200">
        <v>33</v>
      </c>
      <c r="D175" s="200">
        <v>12</v>
      </c>
      <c r="E175" s="200">
        <v>16</v>
      </c>
      <c r="F175" s="200">
        <v>6</v>
      </c>
      <c r="G175" s="200">
        <v>8</v>
      </c>
      <c r="H175" s="200">
        <v>0</v>
      </c>
      <c r="I175" s="200">
        <v>6</v>
      </c>
      <c r="J175" s="173"/>
      <c r="K175" s="174"/>
      <c r="L175" s="174"/>
      <c r="M175" s="154"/>
      <c r="O175" s="156"/>
      <c r="P175" s="156"/>
      <c r="Q175" s="156"/>
      <c r="R175" s="157"/>
      <c r="S175" s="184"/>
      <c r="T175" s="185"/>
    </row>
    <row r="176" spans="1:20" s="155" customFormat="1" ht="6" customHeight="1">
      <c r="A176" s="174"/>
      <c r="B176"/>
      <c r="C176"/>
      <c r="D176"/>
      <c r="E176"/>
      <c r="F176"/>
      <c r="G176"/>
      <c r="H176"/>
      <c r="I176"/>
      <c r="J176" s="174"/>
      <c r="K176" s="174"/>
      <c r="L176" s="174"/>
      <c r="M176" s="154"/>
      <c r="O176" s="156"/>
      <c r="P176" s="156"/>
      <c r="Q176" s="156"/>
      <c r="R176" s="157"/>
      <c r="S176" s="184"/>
      <c r="T176" s="185"/>
    </row>
    <row r="177" spans="1:20" s="155" customFormat="1" ht="15.75">
      <c r="A177" s="160" t="s">
        <v>46</v>
      </c>
      <c r="B177" s="327" t="s">
        <v>169</v>
      </c>
      <c r="C177" s="327"/>
      <c r="D177" s="327" t="s">
        <v>170</v>
      </c>
      <c r="E177" s="327"/>
      <c r="F177" s="328" t="s">
        <v>171</v>
      </c>
      <c r="G177" s="328"/>
      <c r="H177" s="328" t="s">
        <v>172</v>
      </c>
      <c r="I177" s="328"/>
      <c r="J177" s="186"/>
      <c r="K177" s="186"/>
      <c r="L177" s="186"/>
      <c r="M177" s="154"/>
      <c r="N177" s="329" t="s">
        <v>46</v>
      </c>
      <c r="O177" s="330" t="s">
        <v>185</v>
      </c>
      <c r="P177" s="330"/>
      <c r="Q177" s="330"/>
      <c r="R177" s="161"/>
      <c r="S177" s="322">
        <v>2019</v>
      </c>
      <c r="T177" s="322"/>
    </row>
    <row r="178" spans="1:20" s="155" customFormat="1" ht="13.5" customHeight="1">
      <c r="A178" s="162" t="s">
        <v>186</v>
      </c>
      <c r="B178" s="187" t="s">
        <v>175</v>
      </c>
      <c r="C178" s="187" t="s">
        <v>176</v>
      </c>
      <c r="D178" s="187" t="s">
        <v>175</v>
      </c>
      <c r="E178" s="187" t="s">
        <v>176</v>
      </c>
      <c r="F178" s="163" t="s">
        <v>175</v>
      </c>
      <c r="G178" s="163" t="s">
        <v>176</v>
      </c>
      <c r="H178" s="163" t="s">
        <v>175</v>
      </c>
      <c r="I178" s="163" t="s">
        <v>176</v>
      </c>
      <c r="J178" s="186"/>
      <c r="K178" s="186"/>
      <c r="L178" s="186"/>
      <c r="M178" s="154"/>
      <c r="N178" s="329"/>
      <c r="O178" s="323" t="s">
        <v>57</v>
      </c>
      <c r="P178" s="324" t="s">
        <v>187</v>
      </c>
      <c r="Q178" s="324" t="s">
        <v>59</v>
      </c>
      <c r="R178" s="188"/>
      <c r="S178" s="325" t="s">
        <v>57</v>
      </c>
      <c r="T178" s="326" t="s">
        <v>187</v>
      </c>
    </row>
    <row r="179" spans="1:24" s="155" customFormat="1" ht="15.75">
      <c r="A179" s="167" t="s">
        <v>180</v>
      </c>
      <c r="B179" s="200">
        <v>65</v>
      </c>
      <c r="C179" s="200">
        <v>25</v>
      </c>
      <c r="D179" s="200">
        <v>119</v>
      </c>
      <c r="E179" s="200">
        <v>117</v>
      </c>
      <c r="F179" s="200">
        <v>97</v>
      </c>
      <c r="G179" s="200">
        <v>74</v>
      </c>
      <c r="H179" s="200">
        <v>57</v>
      </c>
      <c r="I179" s="200">
        <v>223</v>
      </c>
      <c r="J179" s="173"/>
      <c r="K179" s="174"/>
      <c r="L179" s="174"/>
      <c r="M179" s="154"/>
      <c r="N179" s="329"/>
      <c r="O179" s="323"/>
      <c r="P179" s="323"/>
      <c r="Q179" s="324"/>
      <c r="R179" s="188"/>
      <c r="S179" s="325"/>
      <c r="T179" s="325"/>
      <c r="U179"/>
      <c r="V179"/>
      <c r="W179"/>
      <c r="X179"/>
    </row>
    <row r="180" spans="1:24" s="155" customFormat="1" ht="15.75">
      <c r="A180" s="189" t="s">
        <v>181</v>
      </c>
      <c r="B180" s="200">
        <v>1515</v>
      </c>
      <c r="C180" s="200">
        <v>716</v>
      </c>
      <c r="D180" s="200">
        <v>462</v>
      </c>
      <c r="E180" s="200">
        <v>456</v>
      </c>
      <c r="F180" s="200">
        <v>156</v>
      </c>
      <c r="G180" s="200">
        <v>399</v>
      </c>
      <c r="H180" s="200">
        <v>72</v>
      </c>
      <c r="I180" s="200">
        <v>1630</v>
      </c>
      <c r="J180" s="173"/>
      <c r="K180" s="174"/>
      <c r="L180" s="174"/>
      <c r="M180" s="154"/>
      <c r="N180" s="190" t="s">
        <v>67</v>
      </c>
      <c r="O180" s="176">
        <f>SUM(B173,B174,B175,B180,B181)*0.42</f>
        <v>1712.34</v>
      </c>
      <c r="P180" s="176">
        <f>SUM(D173,F173,H173,D175,F175,H175,D180,F180,H180)*0.9</f>
        <v>1501.2</v>
      </c>
      <c r="Q180" s="176">
        <f>SUM(D174,F174,H174,D181,F181,H181)*0.8</f>
        <v>4.800000000000001</v>
      </c>
      <c r="R180" s="181"/>
      <c r="S180" s="191">
        <v>2095</v>
      </c>
      <c r="T180" s="192">
        <v>2060</v>
      </c>
      <c r="U180" s="193">
        <f>O180/S180*1-1</f>
        <v>-0.18265393794749407</v>
      </c>
      <c r="V180" s="193">
        <f>P180/T180*1-1</f>
        <v>-0.27126213592233006</v>
      </c>
      <c r="W180" s="194">
        <f>O180-S180</f>
        <v>-382.6600000000001</v>
      </c>
      <c r="X180" s="194">
        <f>P180-T180</f>
        <v>-558.8</v>
      </c>
    </row>
    <row r="181" spans="1:24" s="155" customFormat="1" ht="15.75">
      <c r="A181" s="189" t="s">
        <v>182</v>
      </c>
      <c r="B181" s="200">
        <v>14</v>
      </c>
      <c r="C181" s="200">
        <v>48</v>
      </c>
      <c r="D181" s="200">
        <v>2</v>
      </c>
      <c r="E181" s="200">
        <v>29</v>
      </c>
      <c r="F181" s="200">
        <v>0</v>
      </c>
      <c r="G181" s="200">
        <v>36</v>
      </c>
      <c r="H181" s="200">
        <v>1</v>
      </c>
      <c r="I181" s="200">
        <v>225</v>
      </c>
      <c r="J181" s="173"/>
      <c r="K181" s="174"/>
      <c r="L181" s="174"/>
      <c r="M181" s="154"/>
      <c r="N181" s="190" t="s">
        <v>69</v>
      </c>
      <c r="O181" s="176">
        <f>SUM(C173,C174,C175,C180,C181)*0.63</f>
        <v>1173.69</v>
      </c>
      <c r="P181" s="176">
        <f>SUM(E173,G173,I173,E174,E175,G175,I175,E180,G180,I180,E181)*0.8</f>
        <v>4112</v>
      </c>
      <c r="Q181" s="176">
        <f>SUM(G174,I174,G181,I181)*0.7</f>
        <v>370.29999999999995</v>
      </c>
      <c r="R181" s="181"/>
      <c r="S181" s="195">
        <v>1421</v>
      </c>
      <c r="T181" s="195">
        <v>5161</v>
      </c>
      <c r="U181" s="193">
        <f>O181/S181*1-1</f>
        <v>-0.17403940886699498</v>
      </c>
      <c r="V181" s="193">
        <f>P181/T181*1-1</f>
        <v>-0.20325518310404955</v>
      </c>
      <c r="W181" s="194">
        <f>O181-S181</f>
        <v>-247.30999999999995</v>
      </c>
      <c r="X181" s="194">
        <f>P181-T181</f>
        <v>-1049</v>
      </c>
    </row>
    <row r="182" spans="1:20" ht="15.75">
      <c r="A182" s="196"/>
      <c r="J182" s="196"/>
      <c r="K182" s="196"/>
      <c r="L182" s="196"/>
      <c r="M182" s="197"/>
      <c r="N182" s="196"/>
      <c r="O182" s="196"/>
      <c r="P182" s="196"/>
      <c r="Q182" s="196"/>
      <c r="R182" s="196"/>
      <c r="S182" s="198"/>
      <c r="T182" s="199"/>
    </row>
    <row r="183" spans="1:20" s="155" customFormat="1" ht="16.5" customHeight="1">
      <c r="A183" s="152" t="s">
        <v>103</v>
      </c>
      <c r="B183" s="153"/>
      <c r="C183" s="153"/>
      <c r="D183" s="153"/>
      <c r="E183" s="153"/>
      <c r="F183" s="153"/>
      <c r="G183" s="153"/>
      <c r="H183" s="153"/>
      <c r="I183" s="153"/>
      <c r="J183" s="332" t="s">
        <v>167</v>
      </c>
      <c r="K183" s="333" t="s">
        <v>168</v>
      </c>
      <c r="L183" s="333"/>
      <c r="M183" s="154"/>
      <c r="O183" s="156"/>
      <c r="P183" s="156"/>
      <c r="Q183" s="156"/>
      <c r="R183" s="157"/>
      <c r="S183" s="158"/>
      <c r="T183" s="159"/>
    </row>
    <row r="184" spans="1:20" s="155" customFormat="1" ht="14.25" customHeight="1">
      <c r="A184" s="160" t="s">
        <v>46</v>
      </c>
      <c r="B184" s="328" t="s">
        <v>169</v>
      </c>
      <c r="C184" s="328"/>
      <c r="D184" s="328" t="s">
        <v>170</v>
      </c>
      <c r="E184" s="328"/>
      <c r="F184" s="328" t="s">
        <v>171</v>
      </c>
      <c r="G184" s="328"/>
      <c r="H184" s="328" t="s">
        <v>172</v>
      </c>
      <c r="I184" s="328"/>
      <c r="J184" s="332"/>
      <c r="K184" s="334" t="s">
        <v>173</v>
      </c>
      <c r="L184" s="334"/>
      <c r="M184" s="154"/>
      <c r="N184" s="329" t="s">
        <v>46</v>
      </c>
      <c r="O184" s="330" t="s">
        <v>47</v>
      </c>
      <c r="P184" s="330"/>
      <c r="Q184" s="330"/>
      <c r="R184" s="161"/>
      <c r="S184" s="331" t="s">
        <v>131</v>
      </c>
      <c r="T184" s="331"/>
    </row>
    <row r="185" spans="1:20" s="155" customFormat="1" ht="15.75" customHeight="1">
      <c r="A185" s="162" t="s">
        <v>174</v>
      </c>
      <c r="B185" s="163" t="s">
        <v>175</v>
      </c>
      <c r="C185" s="163" t="s">
        <v>176</v>
      </c>
      <c r="D185" s="163" t="s">
        <v>175</v>
      </c>
      <c r="E185" s="163" t="s">
        <v>176</v>
      </c>
      <c r="F185" s="163" t="s">
        <v>175</v>
      </c>
      <c r="G185" s="163" t="s">
        <v>176</v>
      </c>
      <c r="H185" s="163" t="s">
        <v>175</v>
      </c>
      <c r="I185" s="163" t="s">
        <v>176</v>
      </c>
      <c r="J185" s="164">
        <f>SUM(Reb__Est__por_faixa_etária!D18)</f>
        <v>311</v>
      </c>
      <c r="K185" s="165" t="s">
        <v>177</v>
      </c>
      <c r="L185" s="165" t="s">
        <v>178</v>
      </c>
      <c r="M185" s="154"/>
      <c r="N185" s="329"/>
      <c r="O185" s="323" t="s">
        <v>54</v>
      </c>
      <c r="P185" s="323" t="s">
        <v>55</v>
      </c>
      <c r="Q185" s="323" t="s">
        <v>56</v>
      </c>
      <c r="R185" s="166"/>
      <c r="S185" s="331" t="s">
        <v>179</v>
      </c>
      <c r="T185" s="331"/>
    </row>
    <row r="186" spans="1:20" s="155" customFormat="1" ht="15.75">
      <c r="A186" s="167" t="s">
        <v>180</v>
      </c>
      <c r="B186" s="200">
        <v>14</v>
      </c>
      <c r="C186" s="200">
        <v>12</v>
      </c>
      <c r="D186" s="200">
        <v>54</v>
      </c>
      <c r="E186" s="200">
        <v>17</v>
      </c>
      <c r="F186" s="200">
        <v>37</v>
      </c>
      <c r="G186" s="200">
        <v>20</v>
      </c>
      <c r="H186" s="200">
        <v>83</v>
      </c>
      <c r="I186" s="200">
        <v>179</v>
      </c>
      <c r="J186" s="167"/>
      <c r="K186" s="170">
        <f>J185*0.6</f>
        <v>186.60000000000002</v>
      </c>
      <c r="L186" s="170">
        <f>J185*0.4</f>
        <v>124.4</v>
      </c>
      <c r="M186" s="154"/>
      <c r="N186" s="329"/>
      <c r="O186" s="323"/>
      <c r="P186" s="323"/>
      <c r="Q186" s="323"/>
      <c r="R186" s="166"/>
      <c r="S186" s="201">
        <f>S172</f>
        <v>2020</v>
      </c>
      <c r="T186" s="201">
        <f>T172</f>
        <v>2019</v>
      </c>
    </row>
    <row r="187" spans="1:20" s="155" customFormat="1" ht="15.75">
      <c r="A187" s="167" t="s">
        <v>181</v>
      </c>
      <c r="B187" s="200">
        <v>729</v>
      </c>
      <c r="C187" s="200">
        <v>332</v>
      </c>
      <c r="D187" s="200">
        <v>124</v>
      </c>
      <c r="E187" s="200">
        <v>182</v>
      </c>
      <c r="F187" s="200">
        <v>39</v>
      </c>
      <c r="G187" s="200">
        <v>94</v>
      </c>
      <c r="H187" s="200">
        <v>52</v>
      </c>
      <c r="I187" s="200">
        <v>416</v>
      </c>
      <c r="J187" s="173"/>
      <c r="K187" s="174"/>
      <c r="L187" s="174"/>
      <c r="M187" s="154"/>
      <c r="N187" s="175" t="s">
        <v>67</v>
      </c>
      <c r="O187" s="176">
        <f>SUM(F186,H186,F193,H193)</f>
        <v>120</v>
      </c>
      <c r="P187" s="176">
        <f>SUM(B186,D186,B193,D193,K186)</f>
        <v>254.60000000000002</v>
      </c>
      <c r="Q187" s="177"/>
      <c r="R187" s="178"/>
      <c r="S187" s="179">
        <f>(O187+P187+O188+P188+O194+P194+O195+P195+Q195+Q194)</f>
        <v>2594.02</v>
      </c>
      <c r="T187" s="202">
        <v>2702</v>
      </c>
    </row>
    <row r="188" spans="1:20" s="155" customFormat="1" ht="15.75">
      <c r="A188" s="167" t="s">
        <v>182</v>
      </c>
      <c r="B188" s="200">
        <v>0</v>
      </c>
      <c r="C188" s="200">
        <v>5</v>
      </c>
      <c r="D188" s="200">
        <v>0</v>
      </c>
      <c r="E188" s="200">
        <v>12</v>
      </c>
      <c r="F188" s="200">
        <v>0</v>
      </c>
      <c r="G188" s="200">
        <v>4</v>
      </c>
      <c r="H188" s="200">
        <v>1</v>
      </c>
      <c r="I188" s="200">
        <v>21</v>
      </c>
      <c r="J188" s="173"/>
      <c r="K188" s="174"/>
      <c r="L188" s="174"/>
      <c r="M188" s="154"/>
      <c r="N188" s="175" t="s">
        <v>69</v>
      </c>
      <c r="O188" s="176">
        <f>SUM(G186,I186,G193,I193)</f>
        <v>199</v>
      </c>
      <c r="P188" s="176">
        <f>SUM(C186,E186,C193,E193,L186)</f>
        <v>153.4</v>
      </c>
      <c r="Q188" s="180"/>
      <c r="R188" s="181"/>
      <c r="S188" s="182" t="s">
        <v>183</v>
      </c>
      <c r="T188" s="183">
        <f>S187-T187</f>
        <v>-107.98000000000002</v>
      </c>
    </row>
    <row r="189" spans="1:20" s="155" customFormat="1" ht="15.75">
      <c r="A189" s="167" t="s">
        <v>184</v>
      </c>
      <c r="B189" s="207"/>
      <c r="C189" s="207"/>
      <c r="D189" s="207"/>
      <c r="E189" s="207"/>
      <c r="F189" s="207"/>
      <c r="G189" s="207"/>
      <c r="H189" s="207"/>
      <c r="I189" s="207"/>
      <c r="J189" s="173"/>
      <c r="K189" s="174"/>
      <c r="L189" s="174"/>
      <c r="M189" s="154"/>
      <c r="O189" s="156"/>
      <c r="P189" s="156"/>
      <c r="Q189" s="156"/>
      <c r="R189" s="157"/>
      <c r="S189" s="184"/>
      <c r="T189" s="185"/>
    </row>
    <row r="190" spans="1:20" s="155" customFormat="1" ht="6" customHeight="1">
      <c r="A190" s="174"/>
      <c r="B190" s="208"/>
      <c r="C190" s="208"/>
      <c r="D190" s="208"/>
      <c r="E190" s="208"/>
      <c r="F190" s="209"/>
      <c r="G190" s="209"/>
      <c r="H190" s="209"/>
      <c r="I190" s="209"/>
      <c r="J190" s="174"/>
      <c r="K190" s="174"/>
      <c r="L190" s="174"/>
      <c r="M190" s="154"/>
      <c r="O190" s="156"/>
      <c r="P190" s="156"/>
      <c r="Q190" s="156"/>
      <c r="R190" s="157"/>
      <c r="S190" s="184"/>
      <c r="T190" s="185"/>
    </row>
    <row r="191" spans="1:20" s="155" customFormat="1" ht="15.75">
      <c r="A191" s="160" t="s">
        <v>46</v>
      </c>
      <c r="B191" s="327" t="s">
        <v>169</v>
      </c>
      <c r="C191" s="327"/>
      <c r="D191" s="327" t="s">
        <v>170</v>
      </c>
      <c r="E191" s="327"/>
      <c r="F191" s="328" t="s">
        <v>171</v>
      </c>
      <c r="G191" s="328"/>
      <c r="H191" s="328" t="s">
        <v>172</v>
      </c>
      <c r="I191" s="328"/>
      <c r="J191" s="186"/>
      <c r="K191" s="186"/>
      <c r="L191" s="186"/>
      <c r="M191" s="154"/>
      <c r="N191" s="329" t="s">
        <v>46</v>
      </c>
      <c r="O191" s="330" t="s">
        <v>185</v>
      </c>
      <c r="P191" s="330"/>
      <c r="Q191" s="330"/>
      <c r="R191" s="161"/>
      <c r="S191" s="322">
        <v>2019</v>
      </c>
      <c r="T191" s="322"/>
    </row>
    <row r="192" spans="1:20" s="155" customFormat="1" ht="13.5" customHeight="1">
      <c r="A192" s="162" t="s">
        <v>186</v>
      </c>
      <c r="B192" s="187" t="s">
        <v>175</v>
      </c>
      <c r="C192" s="187" t="s">
        <v>176</v>
      </c>
      <c r="D192" s="187" t="s">
        <v>175</v>
      </c>
      <c r="E192" s="187" t="s">
        <v>176</v>
      </c>
      <c r="F192" s="163" t="s">
        <v>175</v>
      </c>
      <c r="G192" s="163" t="s">
        <v>176</v>
      </c>
      <c r="H192" s="163" t="s">
        <v>175</v>
      </c>
      <c r="I192" s="163" t="s">
        <v>176</v>
      </c>
      <c r="J192" s="186"/>
      <c r="K192" s="186"/>
      <c r="L192" s="186"/>
      <c r="M192" s="154"/>
      <c r="N192" s="329"/>
      <c r="O192" s="323" t="s">
        <v>57</v>
      </c>
      <c r="P192" s="324" t="s">
        <v>187</v>
      </c>
      <c r="Q192" s="324" t="s">
        <v>59</v>
      </c>
      <c r="R192" s="188"/>
      <c r="S192" s="325" t="s">
        <v>57</v>
      </c>
      <c r="T192" s="326" t="s">
        <v>187</v>
      </c>
    </row>
    <row r="193" spans="1:24" s="155" customFormat="1" ht="15.75">
      <c r="A193" s="167" t="s">
        <v>180</v>
      </c>
      <c r="B193" s="210"/>
      <c r="C193" s="210"/>
      <c r="D193" s="210"/>
      <c r="E193" s="210"/>
      <c r="F193" s="210"/>
      <c r="G193" s="210"/>
      <c r="H193" s="210"/>
      <c r="I193" s="210"/>
      <c r="J193" s="173"/>
      <c r="K193" s="174"/>
      <c r="L193" s="174"/>
      <c r="M193" s="154"/>
      <c r="N193" s="329"/>
      <c r="O193" s="323"/>
      <c r="P193" s="323"/>
      <c r="Q193" s="324"/>
      <c r="R193" s="188"/>
      <c r="S193" s="325"/>
      <c r="T193" s="325"/>
      <c r="U193"/>
      <c r="V193"/>
      <c r="W193"/>
      <c r="X193"/>
    </row>
    <row r="194" spans="1:24" s="155" customFormat="1" ht="15.75">
      <c r="A194" s="189" t="s">
        <v>181</v>
      </c>
      <c r="B194" s="200">
        <v>170</v>
      </c>
      <c r="C194" s="200">
        <v>212</v>
      </c>
      <c r="D194" s="200">
        <v>55</v>
      </c>
      <c r="E194" s="200">
        <v>91</v>
      </c>
      <c r="F194" s="200">
        <v>22</v>
      </c>
      <c r="G194" s="200">
        <v>53</v>
      </c>
      <c r="H194" s="200">
        <v>35</v>
      </c>
      <c r="I194" s="200">
        <v>133</v>
      </c>
      <c r="J194" s="173"/>
      <c r="K194" s="174"/>
      <c r="L194" s="174"/>
      <c r="M194" s="154"/>
      <c r="N194" s="190" t="s">
        <v>67</v>
      </c>
      <c r="O194" s="176">
        <f>SUM(B187,B188,B189,B194,B195)*0.54</f>
        <v>485.46000000000004</v>
      </c>
      <c r="P194" s="176">
        <f>SUM(D187,F187,H187,D189,F189,H189,D194,F194,H194)*0.85</f>
        <v>277.95</v>
      </c>
      <c r="Q194" s="176">
        <f>SUM(D188,F188,H188,D195,F195,H195)</f>
        <v>1</v>
      </c>
      <c r="R194" s="181"/>
      <c r="S194" s="191">
        <v>598</v>
      </c>
      <c r="T194" s="192">
        <v>483</v>
      </c>
      <c r="U194" s="193">
        <f>O194/S194*1-1</f>
        <v>-0.18819397993311027</v>
      </c>
      <c r="V194" s="193">
        <f>P194/T194*1-1</f>
        <v>-0.42453416149068324</v>
      </c>
      <c r="W194" s="194">
        <f>O194-S194</f>
        <v>-112.53999999999996</v>
      </c>
      <c r="X194" s="194">
        <f>P194-T194</f>
        <v>-205.05</v>
      </c>
    </row>
    <row r="195" spans="1:24" s="155" customFormat="1" ht="15.75">
      <c r="A195" s="189" t="s">
        <v>182</v>
      </c>
      <c r="B195" s="200">
        <v>0</v>
      </c>
      <c r="C195" s="200">
        <v>0</v>
      </c>
      <c r="D195" s="200">
        <v>0</v>
      </c>
      <c r="E195" s="200">
        <v>0</v>
      </c>
      <c r="F195" s="200">
        <v>0</v>
      </c>
      <c r="G195" s="200">
        <v>0</v>
      </c>
      <c r="H195" s="200">
        <v>0</v>
      </c>
      <c r="I195" s="200">
        <v>9</v>
      </c>
      <c r="J195" s="173"/>
      <c r="K195" s="174"/>
      <c r="L195" s="174"/>
      <c r="M195" s="154"/>
      <c r="N195" s="190" t="s">
        <v>69</v>
      </c>
      <c r="O195" s="176">
        <f>SUM(C187,C188,C189,C194,C195)*0.44</f>
        <v>241.56</v>
      </c>
      <c r="P195" s="176">
        <f>SUM(E187,G187,I187,E188,E189,G189,I189,E194,G194,I194,E195)*0.85</f>
        <v>833.85</v>
      </c>
      <c r="Q195" s="176">
        <f>SUM(G188,I188,G195,I195)*0.8</f>
        <v>27.200000000000003</v>
      </c>
      <c r="R195" s="181"/>
      <c r="S195" s="195">
        <v>289</v>
      </c>
      <c r="T195" s="195">
        <v>1118</v>
      </c>
      <c r="U195" s="193">
        <f>O195/S195*1-1</f>
        <v>-0.16415224913494808</v>
      </c>
      <c r="V195" s="193">
        <f>P195/T195*1-1</f>
        <v>-0.2541592128801431</v>
      </c>
      <c r="W195" s="194">
        <f>O195-S195</f>
        <v>-47.44</v>
      </c>
      <c r="X195" s="194">
        <f>P195-T195</f>
        <v>-284.15</v>
      </c>
    </row>
    <row r="196" spans="1:20" ht="15.75">
      <c r="A196" s="196"/>
      <c r="J196" s="196"/>
      <c r="K196" s="196"/>
      <c r="L196" s="196"/>
      <c r="M196" s="197"/>
      <c r="N196" s="196"/>
      <c r="O196" s="196"/>
      <c r="P196" s="196"/>
      <c r="Q196" s="196"/>
      <c r="R196" s="196"/>
      <c r="S196" s="198"/>
      <c r="T196" s="199"/>
    </row>
    <row r="197" spans="1:20" s="155" customFormat="1" ht="16.5" customHeight="1">
      <c r="A197" s="152" t="s">
        <v>105</v>
      </c>
      <c r="B197" s="153"/>
      <c r="C197" s="153"/>
      <c r="D197" s="153"/>
      <c r="E197" s="153"/>
      <c r="F197" s="153"/>
      <c r="G197" s="153"/>
      <c r="H197" s="153"/>
      <c r="I197" s="153"/>
      <c r="J197" s="332" t="s">
        <v>167</v>
      </c>
      <c r="K197" s="333" t="s">
        <v>168</v>
      </c>
      <c r="L197" s="333"/>
      <c r="M197" s="154"/>
      <c r="O197" s="156"/>
      <c r="P197" s="156"/>
      <c r="Q197" s="156"/>
      <c r="R197" s="157"/>
      <c r="S197" s="158"/>
      <c r="T197" s="159"/>
    </row>
    <row r="198" spans="1:20" s="155" customFormat="1" ht="14.25" customHeight="1">
      <c r="A198" s="160" t="s">
        <v>46</v>
      </c>
      <c r="B198" s="328" t="s">
        <v>169</v>
      </c>
      <c r="C198" s="328"/>
      <c r="D198" s="328" t="s">
        <v>170</v>
      </c>
      <c r="E198" s="328"/>
      <c r="F198" s="328" t="s">
        <v>171</v>
      </c>
      <c r="G198" s="328"/>
      <c r="H198" s="328" t="s">
        <v>172</v>
      </c>
      <c r="I198" s="328"/>
      <c r="J198" s="332"/>
      <c r="K198" s="334" t="s">
        <v>173</v>
      </c>
      <c r="L198" s="334"/>
      <c r="M198" s="154"/>
      <c r="N198" s="329" t="s">
        <v>46</v>
      </c>
      <c r="O198" s="330" t="s">
        <v>47</v>
      </c>
      <c r="P198" s="330"/>
      <c r="Q198" s="330"/>
      <c r="R198" s="161"/>
      <c r="S198" s="331" t="s">
        <v>131</v>
      </c>
      <c r="T198" s="331"/>
    </row>
    <row r="199" spans="1:20" s="155" customFormat="1" ht="15.75" customHeight="1">
      <c r="A199" s="162" t="s">
        <v>174</v>
      </c>
      <c r="B199" s="163" t="s">
        <v>175</v>
      </c>
      <c r="C199" s="163" t="s">
        <v>176</v>
      </c>
      <c r="D199" s="163" t="s">
        <v>175</v>
      </c>
      <c r="E199" s="163" t="s">
        <v>176</v>
      </c>
      <c r="F199" s="163" t="s">
        <v>175</v>
      </c>
      <c r="G199" s="163" t="s">
        <v>176</v>
      </c>
      <c r="H199" s="163" t="s">
        <v>175</v>
      </c>
      <c r="I199" s="163" t="s">
        <v>176</v>
      </c>
      <c r="J199" s="164">
        <f>SUM(Reb__Est__por_faixa_etária!D19)</f>
        <v>710</v>
      </c>
      <c r="K199" s="165" t="s">
        <v>177</v>
      </c>
      <c r="L199" s="165" t="s">
        <v>178</v>
      </c>
      <c r="M199" s="154"/>
      <c r="N199" s="329"/>
      <c r="O199" s="323" t="s">
        <v>54</v>
      </c>
      <c r="P199" s="323" t="s">
        <v>55</v>
      </c>
      <c r="Q199" s="323" t="s">
        <v>56</v>
      </c>
      <c r="R199" s="166"/>
      <c r="S199" s="331" t="s">
        <v>179</v>
      </c>
      <c r="T199" s="331"/>
    </row>
    <row r="200" spans="1:20" s="155" customFormat="1" ht="15.75">
      <c r="A200" s="167" t="s">
        <v>180</v>
      </c>
      <c r="B200" s="200">
        <v>14</v>
      </c>
      <c r="C200" s="200">
        <v>7</v>
      </c>
      <c r="D200" s="200">
        <v>129</v>
      </c>
      <c r="E200" s="200">
        <v>133</v>
      </c>
      <c r="F200" s="200">
        <v>110</v>
      </c>
      <c r="G200" s="200">
        <v>92</v>
      </c>
      <c r="H200" s="200">
        <v>477</v>
      </c>
      <c r="I200" s="200">
        <v>302</v>
      </c>
      <c r="J200" s="167"/>
      <c r="K200" s="170">
        <f>J199*0.6</f>
        <v>426.00000000000006</v>
      </c>
      <c r="L200" s="170">
        <f>J199*0.4</f>
        <v>284</v>
      </c>
      <c r="M200" s="154"/>
      <c r="N200" s="329"/>
      <c r="O200" s="323"/>
      <c r="P200" s="323"/>
      <c r="Q200" s="323"/>
      <c r="R200" s="166"/>
      <c r="S200" s="201">
        <f>S186</f>
        <v>2020</v>
      </c>
      <c r="T200" s="201">
        <f>T186</f>
        <v>2019</v>
      </c>
    </row>
    <row r="201" spans="1:20" s="155" customFormat="1" ht="15.75">
      <c r="A201" s="167" t="s">
        <v>181</v>
      </c>
      <c r="B201" s="200">
        <v>1606</v>
      </c>
      <c r="C201" s="200">
        <v>778</v>
      </c>
      <c r="D201" s="200">
        <v>667</v>
      </c>
      <c r="E201" s="200">
        <v>544</v>
      </c>
      <c r="F201" s="200">
        <v>245</v>
      </c>
      <c r="G201" s="200">
        <v>357</v>
      </c>
      <c r="H201" s="200">
        <v>110</v>
      </c>
      <c r="I201" s="200">
        <v>821</v>
      </c>
      <c r="J201" s="173"/>
      <c r="K201" s="174"/>
      <c r="L201" s="174"/>
      <c r="M201" s="154"/>
      <c r="N201" s="175" t="s">
        <v>67</v>
      </c>
      <c r="O201" s="176">
        <f>SUM(F200,H200,F207,H207)</f>
        <v>628</v>
      </c>
      <c r="P201" s="176">
        <f>SUM(B200,D200,B207,D207,K200)</f>
        <v>657</v>
      </c>
      <c r="Q201" s="177"/>
      <c r="R201" s="178"/>
      <c r="S201" s="179">
        <f>(O201+P201+O202+P202+O208+P208+O209+P209+Q209+Q208)</f>
        <v>7560.09</v>
      </c>
      <c r="T201" s="202">
        <v>8938</v>
      </c>
    </row>
    <row r="202" spans="1:20" s="155" customFormat="1" ht="15.75">
      <c r="A202" s="167" t="s">
        <v>182</v>
      </c>
      <c r="B202" s="200">
        <v>1</v>
      </c>
      <c r="C202" s="200">
        <v>3</v>
      </c>
      <c r="D202" s="200">
        <v>1</v>
      </c>
      <c r="E202" s="200">
        <v>24</v>
      </c>
      <c r="F202" s="200">
        <v>5</v>
      </c>
      <c r="G202" s="200">
        <v>12</v>
      </c>
      <c r="H202" s="200">
        <v>1</v>
      </c>
      <c r="I202" s="200">
        <v>111</v>
      </c>
      <c r="J202" s="173"/>
      <c r="K202" s="174"/>
      <c r="L202" s="174"/>
      <c r="M202" s="154"/>
      <c r="N202" s="175" t="s">
        <v>69</v>
      </c>
      <c r="O202" s="176">
        <f>SUM(G200,I200,G207,I207)</f>
        <v>601</v>
      </c>
      <c r="P202" s="176">
        <f>SUM(C200,E200,C207,E207,L200)</f>
        <v>515</v>
      </c>
      <c r="Q202" s="180"/>
      <c r="R202" s="181"/>
      <c r="S202" s="182" t="s">
        <v>183</v>
      </c>
      <c r="T202" s="183">
        <f>S201-T201</f>
        <v>-1377.9099999999999</v>
      </c>
    </row>
    <row r="203" spans="1:20" s="155" customFormat="1" ht="15.75">
      <c r="A203" s="167" t="s">
        <v>184</v>
      </c>
      <c r="B203" s="200">
        <v>14</v>
      </c>
      <c r="C203" s="200">
        <v>0</v>
      </c>
      <c r="D203" s="200">
        <v>0</v>
      </c>
      <c r="E203" s="200">
        <v>0</v>
      </c>
      <c r="F203" s="200">
        <v>0</v>
      </c>
      <c r="G203" s="200">
        <v>0</v>
      </c>
      <c r="H203" s="200">
        <v>0</v>
      </c>
      <c r="I203" s="200">
        <v>0</v>
      </c>
      <c r="J203" s="173"/>
      <c r="K203" s="174"/>
      <c r="L203" s="174"/>
      <c r="M203" s="154"/>
      <c r="O203" s="156"/>
      <c r="P203" s="156"/>
      <c r="Q203" s="156"/>
      <c r="R203" s="157"/>
      <c r="S203" s="184"/>
      <c r="T203" s="185"/>
    </row>
    <row r="204" spans="1:20" s="155" customFormat="1" ht="6" customHeight="1">
      <c r="A204" s="174"/>
      <c r="B204"/>
      <c r="C204"/>
      <c r="D204"/>
      <c r="E204"/>
      <c r="F204"/>
      <c r="G204"/>
      <c r="H204"/>
      <c r="I204"/>
      <c r="J204" s="174"/>
      <c r="K204" s="174"/>
      <c r="L204" s="174"/>
      <c r="M204" s="154"/>
      <c r="O204" s="156"/>
      <c r="P204" s="156"/>
      <c r="Q204" s="156"/>
      <c r="R204" s="157"/>
      <c r="S204" s="184"/>
      <c r="T204" s="185"/>
    </row>
    <row r="205" spans="1:20" s="155" customFormat="1" ht="13.5" customHeight="1">
      <c r="A205" s="160" t="s">
        <v>46</v>
      </c>
      <c r="B205" s="327" t="s">
        <v>169</v>
      </c>
      <c r="C205" s="327"/>
      <c r="D205" s="327" t="s">
        <v>170</v>
      </c>
      <c r="E205" s="327"/>
      <c r="F205" s="328" t="s">
        <v>171</v>
      </c>
      <c r="G205" s="328"/>
      <c r="H205" s="328" t="s">
        <v>172</v>
      </c>
      <c r="I205" s="328"/>
      <c r="J205" s="186"/>
      <c r="K205" s="186"/>
      <c r="L205" s="186"/>
      <c r="M205" s="154"/>
      <c r="N205" s="329" t="s">
        <v>46</v>
      </c>
      <c r="O205" s="330" t="s">
        <v>185</v>
      </c>
      <c r="P205" s="330"/>
      <c r="Q205" s="330"/>
      <c r="R205" s="161"/>
      <c r="S205" s="322">
        <v>2019</v>
      </c>
      <c r="T205" s="322"/>
    </row>
    <row r="206" spans="1:20" s="155" customFormat="1" ht="13.5" customHeight="1">
      <c r="A206" s="162" t="s">
        <v>186</v>
      </c>
      <c r="B206" s="187" t="s">
        <v>175</v>
      </c>
      <c r="C206" s="187" t="s">
        <v>176</v>
      </c>
      <c r="D206" s="187" t="s">
        <v>175</v>
      </c>
      <c r="E206" s="187" t="s">
        <v>176</v>
      </c>
      <c r="F206" s="163" t="s">
        <v>175</v>
      </c>
      <c r="G206" s="163" t="s">
        <v>176</v>
      </c>
      <c r="H206" s="163" t="s">
        <v>175</v>
      </c>
      <c r="I206" s="163" t="s">
        <v>176</v>
      </c>
      <c r="J206" s="186"/>
      <c r="K206" s="186"/>
      <c r="L206" s="186"/>
      <c r="M206" s="154"/>
      <c r="N206" s="329"/>
      <c r="O206" s="323" t="s">
        <v>57</v>
      </c>
      <c r="P206" s="324" t="s">
        <v>187</v>
      </c>
      <c r="Q206" s="324" t="s">
        <v>59</v>
      </c>
      <c r="R206" s="188"/>
      <c r="S206" s="325" t="s">
        <v>57</v>
      </c>
      <c r="T206" s="326" t="s">
        <v>187</v>
      </c>
    </row>
    <row r="207" spans="1:24" s="155" customFormat="1" ht="15.75">
      <c r="A207" s="167" t="s">
        <v>180</v>
      </c>
      <c r="B207" s="200">
        <v>29</v>
      </c>
      <c r="C207" s="200">
        <v>7</v>
      </c>
      <c r="D207" s="200">
        <v>59</v>
      </c>
      <c r="E207" s="200">
        <v>84</v>
      </c>
      <c r="F207" s="200">
        <v>32</v>
      </c>
      <c r="G207" s="200">
        <v>79</v>
      </c>
      <c r="H207" s="200">
        <v>9</v>
      </c>
      <c r="I207" s="200">
        <v>128</v>
      </c>
      <c r="J207" s="173"/>
      <c r="K207" s="174"/>
      <c r="L207" s="174"/>
      <c r="M207" s="154"/>
      <c r="N207" s="329"/>
      <c r="O207" s="323"/>
      <c r="P207" s="323"/>
      <c r="Q207" s="324"/>
      <c r="R207" s="188"/>
      <c r="S207" s="325"/>
      <c r="T207" s="325"/>
      <c r="U207"/>
      <c r="V207"/>
      <c r="W207"/>
      <c r="X207"/>
    </row>
    <row r="208" spans="1:24" s="155" customFormat="1" ht="15.75">
      <c r="A208" s="189" t="s">
        <v>181</v>
      </c>
      <c r="B208" s="200">
        <v>279</v>
      </c>
      <c r="C208" s="200">
        <v>284</v>
      </c>
      <c r="D208" s="200">
        <v>273</v>
      </c>
      <c r="E208" s="200">
        <v>259</v>
      </c>
      <c r="F208" s="200">
        <v>108</v>
      </c>
      <c r="G208" s="200">
        <v>176</v>
      </c>
      <c r="H208" s="200">
        <v>76</v>
      </c>
      <c r="I208" s="200">
        <v>334</v>
      </c>
      <c r="J208" s="173"/>
      <c r="K208" s="174"/>
      <c r="L208" s="174"/>
      <c r="M208" s="154"/>
      <c r="N208" s="190" t="s">
        <v>67</v>
      </c>
      <c r="O208" s="176">
        <f>SUM(B201,B202,B203,B208,B209)*0.49</f>
        <v>931</v>
      </c>
      <c r="P208" s="176">
        <f>SUM(D201,F201,H201,D203,F203,H203,D208,F208,H208)*0.75</f>
        <v>1109.25</v>
      </c>
      <c r="Q208" s="176">
        <f>SUM(D202,F202,H202,D209,F209,H209)</f>
        <v>7</v>
      </c>
      <c r="R208" s="181"/>
      <c r="S208" s="191">
        <v>1148</v>
      </c>
      <c r="T208" s="192">
        <v>1372</v>
      </c>
      <c r="U208" s="193">
        <f>O208/S208*1-1</f>
        <v>-0.18902439024390238</v>
      </c>
      <c r="V208" s="193">
        <f>P208/T208*1-1</f>
        <v>-0.19150874635568516</v>
      </c>
      <c r="W208" s="194">
        <f>O208-S208</f>
        <v>-217</v>
      </c>
      <c r="X208" s="194">
        <f>P208-T208</f>
        <v>-262.75</v>
      </c>
    </row>
    <row r="209" spans="1:24" s="155" customFormat="1" ht="15.75">
      <c r="A209" s="189" t="s">
        <v>182</v>
      </c>
      <c r="B209" s="200">
        <v>0</v>
      </c>
      <c r="C209" s="200">
        <v>13</v>
      </c>
      <c r="D209" s="200">
        <v>0</v>
      </c>
      <c r="E209" s="200">
        <v>34</v>
      </c>
      <c r="F209" s="200">
        <v>0</v>
      </c>
      <c r="G209" s="200">
        <v>15</v>
      </c>
      <c r="H209" s="200">
        <v>0</v>
      </c>
      <c r="I209" s="200">
        <v>60</v>
      </c>
      <c r="J209" s="173"/>
      <c r="K209" s="174"/>
      <c r="L209" s="174"/>
      <c r="M209" s="154"/>
      <c r="N209" s="190" t="s">
        <v>69</v>
      </c>
      <c r="O209" s="176">
        <f>SUM(C201,C202,C203,C208,C209)*0.63</f>
        <v>679.14</v>
      </c>
      <c r="P209" s="176">
        <f>SUM(E201,G201,I201,E202,E203,G203,I203,E208,G208,I208,E209)*0.9</f>
        <v>2294.1</v>
      </c>
      <c r="Q209" s="176">
        <f>SUM(G202,I202,G209,I209)*0.7</f>
        <v>138.6</v>
      </c>
      <c r="R209" s="181"/>
      <c r="S209" s="195">
        <v>843</v>
      </c>
      <c r="T209" s="195">
        <v>3578</v>
      </c>
      <c r="U209" s="193">
        <f>O209/S209*1-1</f>
        <v>-0.19437722419928827</v>
      </c>
      <c r="V209" s="193">
        <f>P209/T209*1-1</f>
        <v>-0.35883174958077135</v>
      </c>
      <c r="W209" s="194">
        <f>O209-S209</f>
        <v>-163.86</v>
      </c>
      <c r="X209" s="194">
        <f>P209-T209</f>
        <v>-1283.9</v>
      </c>
    </row>
    <row r="210" spans="1:20" ht="15.75">
      <c r="A210" s="196"/>
      <c r="J210" s="196"/>
      <c r="K210" s="196"/>
      <c r="L210" s="196"/>
      <c r="M210" s="197"/>
      <c r="N210" s="196"/>
      <c r="O210" s="196"/>
      <c r="P210" s="196"/>
      <c r="Q210" s="196"/>
      <c r="R210" s="196"/>
      <c r="S210" s="198"/>
      <c r="T210" s="199"/>
    </row>
    <row r="211" spans="1:20" s="155" customFormat="1" ht="16.5" customHeight="1">
      <c r="A211" s="152" t="s">
        <v>196</v>
      </c>
      <c r="B211" s="153"/>
      <c r="C211" s="153"/>
      <c r="D211" s="153"/>
      <c r="E211" s="153"/>
      <c r="F211" s="153"/>
      <c r="G211" s="153"/>
      <c r="H211" s="153"/>
      <c r="I211" s="153"/>
      <c r="J211" s="332" t="s">
        <v>167</v>
      </c>
      <c r="K211" s="333" t="s">
        <v>168</v>
      </c>
      <c r="L211" s="333"/>
      <c r="M211" s="154"/>
      <c r="O211" s="156"/>
      <c r="P211" s="156"/>
      <c r="Q211" s="156"/>
      <c r="R211" s="157"/>
      <c r="S211" s="158"/>
      <c r="T211" s="159"/>
    </row>
    <row r="212" spans="1:20" s="155" customFormat="1" ht="14.25" customHeight="1">
      <c r="A212" s="160" t="s">
        <v>46</v>
      </c>
      <c r="B212" s="328" t="s">
        <v>169</v>
      </c>
      <c r="C212" s="328"/>
      <c r="D212" s="328" t="s">
        <v>170</v>
      </c>
      <c r="E212" s="328"/>
      <c r="F212" s="328" t="s">
        <v>171</v>
      </c>
      <c r="G212" s="328"/>
      <c r="H212" s="328" t="s">
        <v>172</v>
      </c>
      <c r="I212" s="328"/>
      <c r="J212" s="332"/>
      <c r="K212" s="334" t="s">
        <v>173</v>
      </c>
      <c r="L212" s="334"/>
      <c r="M212" s="154"/>
      <c r="N212" s="329" t="s">
        <v>46</v>
      </c>
      <c r="O212" s="330" t="s">
        <v>47</v>
      </c>
      <c r="P212" s="330"/>
      <c r="Q212" s="330"/>
      <c r="R212" s="161"/>
      <c r="S212" s="331" t="s">
        <v>131</v>
      </c>
      <c r="T212" s="331"/>
    </row>
    <row r="213" spans="1:20" s="155" customFormat="1" ht="15.75" customHeight="1">
      <c r="A213" s="162" t="s">
        <v>174</v>
      </c>
      <c r="B213" s="163" t="s">
        <v>175</v>
      </c>
      <c r="C213" s="163" t="s">
        <v>176</v>
      </c>
      <c r="D213" s="163" t="s">
        <v>175</v>
      </c>
      <c r="E213" s="163" t="s">
        <v>176</v>
      </c>
      <c r="F213" s="163" t="s">
        <v>175</v>
      </c>
      <c r="G213" s="163" t="s">
        <v>176</v>
      </c>
      <c r="H213" s="163" t="s">
        <v>175</v>
      </c>
      <c r="I213" s="163" t="s">
        <v>176</v>
      </c>
      <c r="J213" s="164">
        <f>SUM(Reb__Est__por_faixa_etária!D20)</f>
        <v>562</v>
      </c>
      <c r="K213" s="165" t="s">
        <v>177</v>
      </c>
      <c r="L213" s="165" t="s">
        <v>178</v>
      </c>
      <c r="M213" s="154"/>
      <c r="N213" s="329"/>
      <c r="O213" s="323" t="s">
        <v>54</v>
      </c>
      <c r="P213" s="323" t="s">
        <v>55</v>
      </c>
      <c r="Q213" s="323" t="s">
        <v>56</v>
      </c>
      <c r="R213" s="166"/>
      <c r="S213" s="331" t="s">
        <v>179</v>
      </c>
      <c r="T213" s="331"/>
    </row>
    <row r="214" spans="1:20" s="155" customFormat="1" ht="15.75">
      <c r="A214" s="167" t="s">
        <v>180</v>
      </c>
      <c r="B214" s="200">
        <v>6</v>
      </c>
      <c r="C214" s="200">
        <v>12</v>
      </c>
      <c r="D214" s="200">
        <v>140</v>
      </c>
      <c r="E214" s="200">
        <v>117</v>
      </c>
      <c r="F214" s="200">
        <v>62</v>
      </c>
      <c r="G214" s="200">
        <v>38</v>
      </c>
      <c r="H214" s="200">
        <v>36</v>
      </c>
      <c r="I214" s="200">
        <v>301</v>
      </c>
      <c r="J214" s="167"/>
      <c r="K214" s="170">
        <f>J213*0.6</f>
        <v>337.20000000000005</v>
      </c>
      <c r="L214" s="170">
        <f>J213*0.4</f>
        <v>224.8</v>
      </c>
      <c r="M214" s="154"/>
      <c r="N214" s="329"/>
      <c r="O214" s="323"/>
      <c r="P214" s="323"/>
      <c r="Q214" s="323"/>
      <c r="R214" s="166"/>
      <c r="S214" s="201">
        <f>S200</f>
        <v>2020</v>
      </c>
      <c r="T214" s="201">
        <f>T200</f>
        <v>2019</v>
      </c>
    </row>
    <row r="215" spans="1:20" s="155" customFormat="1" ht="15.75">
      <c r="A215" s="167" t="s">
        <v>181</v>
      </c>
      <c r="B215" s="200">
        <v>419</v>
      </c>
      <c r="C215" s="200">
        <v>404</v>
      </c>
      <c r="D215" s="200">
        <v>27</v>
      </c>
      <c r="E215" s="200">
        <v>137</v>
      </c>
      <c r="F215" s="200">
        <v>72</v>
      </c>
      <c r="G215" s="200">
        <v>87</v>
      </c>
      <c r="H215" s="200">
        <v>50</v>
      </c>
      <c r="I215" s="200">
        <v>458</v>
      </c>
      <c r="J215" s="173"/>
      <c r="K215" s="174"/>
      <c r="L215" s="174"/>
      <c r="M215" s="154"/>
      <c r="N215" s="175" t="s">
        <v>67</v>
      </c>
      <c r="O215" s="176">
        <f>SUM(F214,H214,F221,H221)</f>
        <v>98</v>
      </c>
      <c r="P215" s="176">
        <f>SUM(B214,D214,B221,D221,K214)</f>
        <v>483.20000000000005</v>
      </c>
      <c r="Q215" s="177"/>
      <c r="R215" s="178"/>
      <c r="S215" s="179">
        <f>(O215+P215+O216+P216+O222+P222+O223+P223+Q223+Q222)</f>
        <v>2994.09</v>
      </c>
      <c r="T215" s="202">
        <v>2726</v>
      </c>
    </row>
    <row r="216" spans="1:20" s="155" customFormat="1" ht="15.75">
      <c r="A216" s="167" t="s">
        <v>182</v>
      </c>
      <c r="B216" s="200">
        <v>0</v>
      </c>
      <c r="C216" s="200">
        <v>12</v>
      </c>
      <c r="D216" s="200">
        <v>0</v>
      </c>
      <c r="E216" s="200">
        <v>22</v>
      </c>
      <c r="F216" s="200">
        <v>0</v>
      </c>
      <c r="G216" s="200">
        <v>16</v>
      </c>
      <c r="H216" s="200">
        <v>1</v>
      </c>
      <c r="I216" s="200">
        <v>66</v>
      </c>
      <c r="J216" s="173"/>
      <c r="K216" s="174"/>
      <c r="L216" s="174"/>
      <c r="M216" s="154"/>
      <c r="N216" s="175" t="s">
        <v>69</v>
      </c>
      <c r="O216" s="176">
        <f>SUM(G214,I214,G221,I221)</f>
        <v>339</v>
      </c>
      <c r="P216" s="176">
        <f>SUM(C214,E214,C221,E221,L214)</f>
        <v>353.8</v>
      </c>
      <c r="Q216" s="180"/>
      <c r="R216" s="181"/>
      <c r="S216" s="182" t="s">
        <v>183</v>
      </c>
      <c r="T216" s="183">
        <f>S215-T215</f>
        <v>268.09000000000015</v>
      </c>
    </row>
    <row r="217" spans="1:20" s="155" customFormat="1" ht="15.75">
      <c r="A217" s="167" t="s">
        <v>184</v>
      </c>
      <c r="B217" s="200">
        <v>0</v>
      </c>
      <c r="C217" s="200">
        <v>0</v>
      </c>
      <c r="D217" s="200">
        <v>3</v>
      </c>
      <c r="E217" s="200">
        <v>5</v>
      </c>
      <c r="F217" s="200">
        <v>0</v>
      </c>
      <c r="G217" s="200">
        <v>0</v>
      </c>
      <c r="H217" s="200">
        <v>0</v>
      </c>
      <c r="I217" s="200">
        <v>0</v>
      </c>
      <c r="J217" s="173"/>
      <c r="K217" s="174"/>
      <c r="L217" s="174"/>
      <c r="M217" s="154"/>
      <c r="O217" s="156"/>
      <c r="P217" s="156"/>
      <c r="Q217" s="156"/>
      <c r="R217" s="157"/>
      <c r="S217" s="184"/>
      <c r="T217" s="185"/>
    </row>
    <row r="218" spans="1:20" s="155" customFormat="1" ht="6" customHeight="1">
      <c r="A218" s="174"/>
      <c r="B218"/>
      <c r="C218"/>
      <c r="D218"/>
      <c r="E218"/>
      <c r="F218"/>
      <c r="G218"/>
      <c r="H218"/>
      <c r="I218"/>
      <c r="J218" s="174"/>
      <c r="K218" s="174"/>
      <c r="L218" s="174"/>
      <c r="M218" s="154"/>
      <c r="O218" s="156"/>
      <c r="P218" s="156"/>
      <c r="Q218" s="156"/>
      <c r="R218" s="157"/>
      <c r="S218" s="184"/>
      <c r="T218" s="185"/>
    </row>
    <row r="219" spans="1:20" s="155" customFormat="1" ht="13.5" customHeight="1">
      <c r="A219" s="160" t="s">
        <v>46</v>
      </c>
      <c r="B219" s="327" t="s">
        <v>169</v>
      </c>
      <c r="C219" s="327"/>
      <c r="D219" s="327" t="s">
        <v>170</v>
      </c>
      <c r="E219" s="327"/>
      <c r="F219" s="328" t="s">
        <v>171</v>
      </c>
      <c r="G219" s="328"/>
      <c r="H219" s="328" t="s">
        <v>172</v>
      </c>
      <c r="I219" s="328"/>
      <c r="J219" s="186"/>
      <c r="K219" s="186"/>
      <c r="L219" s="186"/>
      <c r="M219" s="154"/>
      <c r="N219" s="329" t="s">
        <v>46</v>
      </c>
      <c r="O219" s="330" t="s">
        <v>185</v>
      </c>
      <c r="P219" s="330"/>
      <c r="Q219" s="330"/>
      <c r="R219" s="161"/>
      <c r="S219" s="322">
        <v>2019</v>
      </c>
      <c r="T219" s="322"/>
    </row>
    <row r="220" spans="1:20" s="155" customFormat="1" ht="13.5" customHeight="1">
      <c r="A220" s="162" t="s">
        <v>186</v>
      </c>
      <c r="B220" s="187" t="s">
        <v>175</v>
      </c>
      <c r="C220" s="187" t="s">
        <v>176</v>
      </c>
      <c r="D220" s="187" t="s">
        <v>175</v>
      </c>
      <c r="E220" s="187" t="s">
        <v>176</v>
      </c>
      <c r="F220" s="163" t="s">
        <v>175</v>
      </c>
      <c r="G220" s="163" t="s">
        <v>176</v>
      </c>
      <c r="H220" s="163" t="s">
        <v>175</v>
      </c>
      <c r="I220" s="163" t="s">
        <v>176</v>
      </c>
      <c r="J220" s="186"/>
      <c r="K220" s="186"/>
      <c r="L220" s="186"/>
      <c r="M220" s="154"/>
      <c r="N220" s="329"/>
      <c r="O220" s="323" t="s">
        <v>57</v>
      </c>
      <c r="P220" s="324" t="s">
        <v>187</v>
      </c>
      <c r="Q220" s="324" t="s">
        <v>59</v>
      </c>
      <c r="R220" s="188"/>
      <c r="S220" s="325" t="s">
        <v>57</v>
      </c>
      <c r="T220" s="326" t="s">
        <v>187</v>
      </c>
    </row>
    <row r="221" spans="1:24" s="155" customFormat="1" ht="15.75">
      <c r="A221" s="167" t="s">
        <v>180</v>
      </c>
      <c r="B221" s="204"/>
      <c r="C221" s="204"/>
      <c r="D221" s="204"/>
      <c r="E221" s="204"/>
      <c r="F221" s="205"/>
      <c r="G221" s="205"/>
      <c r="H221" s="205"/>
      <c r="I221" s="205"/>
      <c r="J221" s="173"/>
      <c r="K221" s="174"/>
      <c r="L221" s="174"/>
      <c r="M221" s="154"/>
      <c r="N221" s="329"/>
      <c r="O221" s="323"/>
      <c r="P221" s="323"/>
      <c r="Q221" s="324"/>
      <c r="R221" s="188"/>
      <c r="S221" s="325"/>
      <c r="T221" s="325"/>
      <c r="U221"/>
      <c r="V221"/>
      <c r="W221"/>
      <c r="X221"/>
    </row>
    <row r="222" spans="1:24" s="155" customFormat="1" ht="15.75">
      <c r="A222" s="189" t="s">
        <v>181</v>
      </c>
      <c r="B222" s="200">
        <v>270</v>
      </c>
      <c r="C222" s="200">
        <v>226</v>
      </c>
      <c r="D222" s="200">
        <v>64</v>
      </c>
      <c r="E222" s="200">
        <v>184</v>
      </c>
      <c r="F222" s="200">
        <v>6</v>
      </c>
      <c r="G222" s="200">
        <v>25</v>
      </c>
      <c r="H222" s="200">
        <v>13</v>
      </c>
      <c r="I222" s="200">
        <v>246</v>
      </c>
      <c r="J222" s="173"/>
      <c r="K222" s="174"/>
      <c r="L222" s="174"/>
      <c r="M222" s="154"/>
      <c r="N222" s="190" t="s">
        <v>67</v>
      </c>
      <c r="O222" s="176">
        <f>SUM(B215,B216,B217,B222,B223)*0.53</f>
        <v>365.17</v>
      </c>
      <c r="P222" s="176">
        <f>SUM(D215,F215,H215,D217,F217,H217,D222,F222,H222)*0.9</f>
        <v>211.5</v>
      </c>
      <c r="Q222" s="176">
        <f>SUM(D216,F216,H216,D223,F223,H223)</f>
        <v>1</v>
      </c>
      <c r="R222" s="181"/>
      <c r="S222" s="191">
        <v>452</v>
      </c>
      <c r="T222" s="192">
        <v>355</v>
      </c>
      <c r="U222" s="193">
        <f>O222/S222*1-1</f>
        <v>-0.1921017699115044</v>
      </c>
      <c r="V222" s="193">
        <f>P222/T222*1-1</f>
        <v>-0.4042253521126761</v>
      </c>
      <c r="W222" s="194">
        <f>O222-S222</f>
        <v>-86.82999999999998</v>
      </c>
      <c r="X222" s="194">
        <f>P222-T222</f>
        <v>-143.5</v>
      </c>
    </row>
    <row r="223" spans="1:24" s="155" customFormat="1" ht="15.75">
      <c r="A223" s="189" t="s">
        <v>182</v>
      </c>
      <c r="B223" s="200">
        <v>0</v>
      </c>
      <c r="C223" s="200">
        <v>4</v>
      </c>
      <c r="D223" s="200">
        <v>0</v>
      </c>
      <c r="E223" s="200">
        <v>10</v>
      </c>
      <c r="F223" s="200">
        <v>0</v>
      </c>
      <c r="G223" s="200">
        <v>15</v>
      </c>
      <c r="H223" s="200">
        <v>0</v>
      </c>
      <c r="I223" s="200">
        <v>43</v>
      </c>
      <c r="J223" s="173"/>
      <c r="K223" s="174"/>
      <c r="L223" s="174"/>
      <c r="M223" s="154"/>
      <c r="N223" s="190" t="s">
        <v>69</v>
      </c>
      <c r="O223" s="176">
        <f>SUM(C215,C216,C217,C222,C223)*0.49</f>
        <v>316.54</v>
      </c>
      <c r="P223" s="176">
        <f>SUM(E215,G215,I215,E216,E217,G217,I217,E222,G222,I222,E223)*0.62</f>
        <v>727.88</v>
      </c>
      <c r="Q223" s="176">
        <f>SUM(G216,I216,G223,I223)*0.7</f>
        <v>98</v>
      </c>
      <c r="R223" s="181"/>
      <c r="S223" s="195">
        <v>391</v>
      </c>
      <c r="T223" s="195">
        <v>896</v>
      </c>
      <c r="U223" s="193">
        <f>O223/S223*1-1</f>
        <v>-0.19043478260869562</v>
      </c>
      <c r="V223" s="193">
        <f>P223/T223*1-1</f>
        <v>-0.18763392857142858</v>
      </c>
      <c r="W223" s="194">
        <f>O223-S223</f>
        <v>-74.45999999999998</v>
      </c>
      <c r="X223" s="194">
        <f>P223-T223</f>
        <v>-168.12</v>
      </c>
    </row>
    <row r="224" spans="1:20" ht="15.75">
      <c r="A224" s="196"/>
      <c r="J224" s="196"/>
      <c r="K224" s="196"/>
      <c r="L224" s="196"/>
      <c r="M224" s="197"/>
      <c r="N224" s="196"/>
      <c r="O224" s="196"/>
      <c r="P224" s="196"/>
      <c r="Q224" s="196"/>
      <c r="R224" s="196"/>
      <c r="S224" s="198"/>
      <c r="T224" s="199"/>
    </row>
    <row r="225" spans="1:20" s="155" customFormat="1" ht="16.5" customHeight="1">
      <c r="A225" s="152" t="s">
        <v>109</v>
      </c>
      <c r="B225" s="153"/>
      <c r="C225" s="153"/>
      <c r="D225" s="153"/>
      <c r="E225" s="153"/>
      <c r="F225" s="153"/>
      <c r="G225" s="153"/>
      <c r="H225" s="153"/>
      <c r="I225" s="153"/>
      <c r="J225" s="332" t="s">
        <v>167</v>
      </c>
      <c r="K225" s="333" t="s">
        <v>168</v>
      </c>
      <c r="L225" s="333"/>
      <c r="M225" s="154"/>
      <c r="O225" s="156"/>
      <c r="P225" s="156"/>
      <c r="Q225" s="156"/>
      <c r="R225" s="157"/>
      <c r="S225" s="158"/>
      <c r="T225" s="159"/>
    </row>
    <row r="226" spans="1:20" s="155" customFormat="1" ht="14.25" customHeight="1">
      <c r="A226" s="160" t="s">
        <v>46</v>
      </c>
      <c r="B226" s="328" t="s">
        <v>169</v>
      </c>
      <c r="C226" s="328"/>
      <c r="D226" s="328" t="s">
        <v>170</v>
      </c>
      <c r="E226" s="328"/>
      <c r="F226" s="328" t="s">
        <v>171</v>
      </c>
      <c r="G226" s="328"/>
      <c r="H226" s="328" t="s">
        <v>172</v>
      </c>
      <c r="I226" s="328"/>
      <c r="J226" s="332"/>
      <c r="K226" s="334" t="s">
        <v>173</v>
      </c>
      <c r="L226" s="334"/>
      <c r="M226" s="154"/>
      <c r="N226" s="329" t="s">
        <v>46</v>
      </c>
      <c r="O226" s="330" t="s">
        <v>47</v>
      </c>
      <c r="P226" s="330"/>
      <c r="Q226" s="330"/>
      <c r="R226" s="161"/>
      <c r="S226" s="331" t="s">
        <v>131</v>
      </c>
      <c r="T226" s="331"/>
    </row>
    <row r="227" spans="1:20" s="155" customFormat="1" ht="15.75" customHeight="1">
      <c r="A227" s="162" t="s">
        <v>174</v>
      </c>
      <c r="B227" s="163" t="s">
        <v>175</v>
      </c>
      <c r="C227" s="163" t="s">
        <v>176</v>
      </c>
      <c r="D227" s="163" t="s">
        <v>175</v>
      </c>
      <c r="E227" s="163" t="s">
        <v>176</v>
      </c>
      <c r="F227" s="163" t="s">
        <v>175</v>
      </c>
      <c r="G227" s="163" t="s">
        <v>176</v>
      </c>
      <c r="H227" s="163" t="s">
        <v>175</v>
      </c>
      <c r="I227" s="163" t="s">
        <v>176</v>
      </c>
      <c r="J227" s="164">
        <f>SUM(Reb__Est__por_faixa_etária!D21)</f>
        <v>483</v>
      </c>
      <c r="K227" s="165" t="s">
        <v>177</v>
      </c>
      <c r="L227" s="165" t="s">
        <v>178</v>
      </c>
      <c r="M227" s="154"/>
      <c r="N227" s="329"/>
      <c r="O227" s="323" t="s">
        <v>54</v>
      </c>
      <c r="P227" s="323" t="s">
        <v>55</v>
      </c>
      <c r="Q227" s="323" t="s">
        <v>56</v>
      </c>
      <c r="R227" s="166"/>
      <c r="S227" s="331" t="s">
        <v>179</v>
      </c>
      <c r="T227" s="331"/>
    </row>
    <row r="228" spans="1:20" s="155" customFormat="1" ht="15.75">
      <c r="A228" s="167" t="s">
        <v>180</v>
      </c>
      <c r="B228" s="200">
        <v>1</v>
      </c>
      <c r="C228" s="200">
        <v>20</v>
      </c>
      <c r="D228" s="200">
        <v>349</v>
      </c>
      <c r="E228" s="200">
        <v>225</v>
      </c>
      <c r="F228" s="200">
        <v>294</v>
      </c>
      <c r="G228" s="200">
        <v>167</v>
      </c>
      <c r="H228" s="200">
        <v>273</v>
      </c>
      <c r="I228" s="200">
        <v>296</v>
      </c>
      <c r="J228" s="167"/>
      <c r="K228" s="170">
        <f>J227*0.6</f>
        <v>289.80000000000007</v>
      </c>
      <c r="L228" s="170">
        <f>J227*0.4</f>
        <v>193.20000000000002</v>
      </c>
      <c r="M228" s="154"/>
      <c r="N228" s="329"/>
      <c r="O228" s="323"/>
      <c r="P228" s="323"/>
      <c r="Q228" s="323"/>
      <c r="R228" s="166"/>
      <c r="S228" s="201">
        <f>S214</f>
        <v>2020</v>
      </c>
      <c r="T228" s="201">
        <f>T214</f>
        <v>2019</v>
      </c>
    </row>
    <row r="229" spans="1:20" s="155" customFormat="1" ht="15.75">
      <c r="A229" s="167" t="s">
        <v>181</v>
      </c>
      <c r="B229" s="200">
        <v>1956</v>
      </c>
      <c r="C229" s="200">
        <v>1485</v>
      </c>
      <c r="D229" s="200">
        <v>689</v>
      </c>
      <c r="E229" s="200">
        <v>711</v>
      </c>
      <c r="F229" s="200">
        <v>207</v>
      </c>
      <c r="G229" s="200">
        <v>206</v>
      </c>
      <c r="H229" s="200">
        <v>376</v>
      </c>
      <c r="I229" s="200">
        <v>1150</v>
      </c>
      <c r="J229" s="173"/>
      <c r="K229" s="174"/>
      <c r="L229" s="174"/>
      <c r="M229" s="154"/>
      <c r="N229" s="175" t="s">
        <v>67</v>
      </c>
      <c r="O229" s="176">
        <f>SUM(F228,H228,F235,H235)</f>
        <v>567</v>
      </c>
      <c r="P229" s="176">
        <f>SUM(B228,D228,B235,D235,K228)</f>
        <v>639.8000000000001</v>
      </c>
      <c r="Q229" s="177"/>
      <c r="R229" s="178"/>
      <c r="S229" s="179">
        <f>(O229+P229+O230+P230+O236+P236+O237+P237+Q237+Q236)</f>
        <v>9220.68</v>
      </c>
      <c r="T229" s="202">
        <v>10087</v>
      </c>
    </row>
    <row r="230" spans="1:20" s="155" customFormat="1" ht="15.75">
      <c r="A230" s="167" t="s">
        <v>182</v>
      </c>
      <c r="B230" s="200">
        <v>0</v>
      </c>
      <c r="C230" s="200">
        <v>0</v>
      </c>
      <c r="D230" s="200">
        <v>0</v>
      </c>
      <c r="E230" s="200">
        <v>55</v>
      </c>
      <c r="F230" s="200">
        <v>3</v>
      </c>
      <c r="G230" s="200">
        <v>11</v>
      </c>
      <c r="H230" s="200">
        <v>0</v>
      </c>
      <c r="I230" s="200">
        <v>0</v>
      </c>
      <c r="J230" s="173"/>
      <c r="K230" s="174"/>
      <c r="L230" s="174"/>
      <c r="M230" s="154"/>
      <c r="N230" s="175" t="s">
        <v>69</v>
      </c>
      <c r="O230" s="176">
        <f>SUM(G228,I228,G235,I235)</f>
        <v>463</v>
      </c>
      <c r="P230" s="176">
        <f>SUM(C228,E228,C235,E235,L228)</f>
        <v>438.20000000000005</v>
      </c>
      <c r="Q230" s="180"/>
      <c r="R230" s="181"/>
      <c r="S230" s="182" t="s">
        <v>183</v>
      </c>
      <c r="T230" s="183">
        <f>S229-T229</f>
        <v>-866.3199999999997</v>
      </c>
    </row>
    <row r="231" spans="1:20" s="155" customFormat="1" ht="15.75">
      <c r="A231" s="167" t="s">
        <v>184</v>
      </c>
      <c r="B231" s="200">
        <v>249</v>
      </c>
      <c r="C231" s="200">
        <v>86</v>
      </c>
      <c r="D231" s="200">
        <v>39</v>
      </c>
      <c r="E231" s="200">
        <v>22</v>
      </c>
      <c r="F231" s="200">
        <v>0</v>
      </c>
      <c r="G231" s="200">
        <v>0</v>
      </c>
      <c r="H231" s="200">
        <v>0</v>
      </c>
      <c r="I231" s="200">
        <v>7</v>
      </c>
      <c r="J231" s="173"/>
      <c r="K231" s="174"/>
      <c r="L231" s="174"/>
      <c r="M231" s="154"/>
      <c r="O231" s="156"/>
      <c r="P231" s="156"/>
      <c r="Q231" s="156"/>
      <c r="R231" s="157"/>
      <c r="S231" s="184"/>
      <c r="T231" s="185"/>
    </row>
    <row r="232" spans="1:20" s="155" customFormat="1" ht="6" customHeight="1">
      <c r="A232" s="174"/>
      <c r="B232"/>
      <c r="C232"/>
      <c r="D232"/>
      <c r="E232"/>
      <c r="F232"/>
      <c r="G232"/>
      <c r="H232"/>
      <c r="I232"/>
      <c r="J232" s="174"/>
      <c r="K232" s="174"/>
      <c r="L232" s="174"/>
      <c r="M232" s="154"/>
      <c r="O232" s="156"/>
      <c r="P232" s="156"/>
      <c r="Q232" s="156"/>
      <c r="R232" s="157"/>
      <c r="S232" s="184"/>
      <c r="T232" s="185"/>
    </row>
    <row r="233" spans="1:20" s="155" customFormat="1" ht="15.75">
      <c r="A233" s="160" t="s">
        <v>46</v>
      </c>
      <c r="B233" s="327" t="s">
        <v>169</v>
      </c>
      <c r="C233" s="327"/>
      <c r="D233" s="327" t="s">
        <v>170</v>
      </c>
      <c r="E233" s="327"/>
      <c r="F233" s="328" t="s">
        <v>171</v>
      </c>
      <c r="G233" s="328"/>
      <c r="H233" s="328" t="s">
        <v>172</v>
      </c>
      <c r="I233" s="328"/>
      <c r="J233" s="186"/>
      <c r="K233" s="186"/>
      <c r="L233" s="186"/>
      <c r="M233" s="154"/>
      <c r="N233" s="329" t="s">
        <v>46</v>
      </c>
      <c r="O233" s="330" t="s">
        <v>185</v>
      </c>
      <c r="P233" s="330"/>
      <c r="Q233" s="330"/>
      <c r="R233" s="161"/>
      <c r="S233" s="322">
        <v>2019</v>
      </c>
      <c r="T233" s="322"/>
    </row>
    <row r="234" spans="1:20" s="155" customFormat="1" ht="13.5" customHeight="1">
      <c r="A234" s="162" t="s">
        <v>186</v>
      </c>
      <c r="B234" s="187" t="s">
        <v>175</v>
      </c>
      <c r="C234" s="187" t="s">
        <v>176</v>
      </c>
      <c r="D234" s="187" t="s">
        <v>175</v>
      </c>
      <c r="E234" s="187" t="s">
        <v>176</v>
      </c>
      <c r="F234" s="163" t="s">
        <v>175</v>
      </c>
      <c r="G234" s="163" t="s">
        <v>176</v>
      </c>
      <c r="H234" s="163" t="s">
        <v>175</v>
      </c>
      <c r="I234" s="163" t="s">
        <v>176</v>
      </c>
      <c r="J234" s="186"/>
      <c r="K234" s="186"/>
      <c r="L234" s="186"/>
      <c r="M234" s="154"/>
      <c r="N234" s="329"/>
      <c r="O234" s="323" t="s">
        <v>57</v>
      </c>
      <c r="P234" s="324" t="s">
        <v>187</v>
      </c>
      <c r="Q234" s="324" t="s">
        <v>59</v>
      </c>
      <c r="R234" s="188"/>
      <c r="S234" s="325" t="s">
        <v>57</v>
      </c>
      <c r="T234" s="326" t="s">
        <v>187</v>
      </c>
    </row>
    <row r="235" spans="1:24" s="155" customFormat="1" ht="15.75">
      <c r="A235" s="167" t="s">
        <v>180</v>
      </c>
      <c r="B235" s="204"/>
      <c r="C235" s="204"/>
      <c r="D235" s="204"/>
      <c r="E235" s="204"/>
      <c r="F235" s="205"/>
      <c r="G235" s="205"/>
      <c r="H235" s="205"/>
      <c r="I235" s="205"/>
      <c r="J235" s="173"/>
      <c r="K235" s="174"/>
      <c r="L235" s="174"/>
      <c r="M235" s="154"/>
      <c r="N235" s="329"/>
      <c r="O235" s="323"/>
      <c r="P235" s="323"/>
      <c r="Q235" s="324"/>
      <c r="R235" s="188"/>
      <c r="S235" s="325"/>
      <c r="T235" s="325"/>
      <c r="U235"/>
      <c r="V235"/>
      <c r="W235"/>
      <c r="X235"/>
    </row>
    <row r="236" spans="1:24" s="155" customFormat="1" ht="15.75">
      <c r="A236" s="189" t="s">
        <v>181</v>
      </c>
      <c r="B236" s="200">
        <v>457</v>
      </c>
      <c r="C236" s="200">
        <v>459</v>
      </c>
      <c r="D236" s="200">
        <v>214</v>
      </c>
      <c r="E236" s="200">
        <v>287</v>
      </c>
      <c r="F236" s="200">
        <v>89</v>
      </c>
      <c r="G236" s="200">
        <v>220</v>
      </c>
      <c r="H236" s="200">
        <v>124</v>
      </c>
      <c r="I236" s="200">
        <v>599</v>
      </c>
      <c r="J236" s="173"/>
      <c r="K236" s="174"/>
      <c r="L236" s="174"/>
      <c r="M236" s="154"/>
      <c r="N236" s="190" t="s">
        <v>67</v>
      </c>
      <c r="O236" s="176">
        <f>SUM(B229,B230,B231,B236,B237)*0.64</f>
        <v>1706.88</v>
      </c>
      <c r="P236" s="176">
        <f>SUM(D229,F229,H229,D231,F231,H231,D236,F236,H236)*0.8</f>
        <v>1390.4</v>
      </c>
      <c r="Q236" s="176">
        <f>SUM(D230,F230,H230,D237,F237,H237)</f>
        <v>5</v>
      </c>
      <c r="R236" s="181"/>
      <c r="S236" s="191">
        <v>2104</v>
      </c>
      <c r="T236" s="192">
        <v>1710</v>
      </c>
      <c r="U236" s="193">
        <f>O236/S236*1-1</f>
        <v>-0.18874524714828889</v>
      </c>
      <c r="V236" s="193">
        <f>P236/T236*1-1</f>
        <v>-0.18690058479532157</v>
      </c>
      <c r="W236" s="194">
        <f>O236-S236</f>
        <v>-397.1199999999999</v>
      </c>
      <c r="X236" s="194">
        <f>P236-T236</f>
        <v>-319.5999999999999</v>
      </c>
    </row>
    <row r="237" spans="1:24" s="155" customFormat="1" ht="15.75">
      <c r="A237" s="189" t="s">
        <v>182</v>
      </c>
      <c r="B237" s="200">
        <v>5</v>
      </c>
      <c r="C237" s="200">
        <v>15</v>
      </c>
      <c r="D237" s="200">
        <v>2</v>
      </c>
      <c r="E237" s="200">
        <v>16</v>
      </c>
      <c r="F237" s="200">
        <v>0</v>
      </c>
      <c r="G237" s="200">
        <v>44</v>
      </c>
      <c r="H237" s="200">
        <v>0</v>
      </c>
      <c r="I237" s="200">
        <v>93</v>
      </c>
      <c r="J237" s="173"/>
      <c r="K237" s="174"/>
      <c r="L237" s="174"/>
      <c r="M237" s="154"/>
      <c r="N237" s="190" t="s">
        <v>69</v>
      </c>
      <c r="O237" s="176">
        <f>SUM(C229,C230,C231,C236,C237)*0.55</f>
        <v>1124.75</v>
      </c>
      <c r="P237" s="176">
        <f>SUM(E229,G229,I229,E230,E231,G231,I231,E236,G236,I236,E237)*0.85</f>
        <v>2782.0499999999997</v>
      </c>
      <c r="Q237" s="176">
        <f>SUM(G230,I230,G237,I237)*0.7</f>
        <v>103.6</v>
      </c>
      <c r="R237" s="181"/>
      <c r="S237" s="195">
        <v>1378</v>
      </c>
      <c r="T237" s="195">
        <v>3450</v>
      </c>
      <c r="U237" s="193">
        <f>O237/S237*1-1</f>
        <v>-0.18378084179970977</v>
      </c>
      <c r="V237" s="193">
        <f>P237/T237*1-1</f>
        <v>-0.19360869565217398</v>
      </c>
      <c r="W237" s="194">
        <f>O237-S237</f>
        <v>-253.25</v>
      </c>
      <c r="X237" s="194">
        <f>P237-T237</f>
        <v>-667.9500000000003</v>
      </c>
    </row>
    <row r="238" spans="1:20" ht="15.75">
      <c r="A238" s="196"/>
      <c r="J238" s="196"/>
      <c r="K238" s="196"/>
      <c r="L238" s="196"/>
      <c r="M238" s="197"/>
      <c r="N238" s="196"/>
      <c r="O238" s="196"/>
      <c r="P238" s="196"/>
      <c r="Q238" s="196"/>
      <c r="R238" s="196"/>
      <c r="S238" s="198"/>
      <c r="T238" s="199"/>
    </row>
    <row r="239" spans="1:20" s="155" customFormat="1" ht="16.5" customHeight="1">
      <c r="A239" s="152" t="s">
        <v>111</v>
      </c>
      <c r="B239" s="153"/>
      <c r="C239" s="153"/>
      <c r="D239" s="153"/>
      <c r="E239" s="153"/>
      <c r="F239" s="153"/>
      <c r="G239" s="153"/>
      <c r="H239" s="153"/>
      <c r="I239" s="153"/>
      <c r="J239" s="332" t="s">
        <v>167</v>
      </c>
      <c r="K239" s="333" t="s">
        <v>168</v>
      </c>
      <c r="L239" s="333"/>
      <c r="M239" s="154"/>
      <c r="O239" s="156"/>
      <c r="P239" s="156"/>
      <c r="Q239" s="156"/>
      <c r="R239" s="157"/>
      <c r="S239" s="158"/>
      <c r="T239" s="159"/>
    </row>
    <row r="240" spans="1:20" s="155" customFormat="1" ht="14.25" customHeight="1">
      <c r="A240" s="160" t="s">
        <v>46</v>
      </c>
      <c r="B240" s="328" t="s">
        <v>169</v>
      </c>
      <c r="C240" s="328"/>
      <c r="D240" s="328" t="s">
        <v>170</v>
      </c>
      <c r="E240" s="328"/>
      <c r="F240" s="328" t="s">
        <v>171</v>
      </c>
      <c r="G240" s="328"/>
      <c r="H240" s="328" t="s">
        <v>172</v>
      </c>
      <c r="I240" s="328"/>
      <c r="J240" s="332"/>
      <c r="K240" s="334" t="s">
        <v>173</v>
      </c>
      <c r="L240" s="334"/>
      <c r="M240" s="154"/>
      <c r="N240" s="329" t="s">
        <v>46</v>
      </c>
      <c r="O240" s="330" t="s">
        <v>47</v>
      </c>
      <c r="P240" s="330"/>
      <c r="Q240" s="330"/>
      <c r="R240" s="161"/>
      <c r="S240" s="331" t="s">
        <v>131</v>
      </c>
      <c r="T240" s="331"/>
    </row>
    <row r="241" spans="1:20" s="155" customFormat="1" ht="15.75" customHeight="1">
      <c r="A241" s="162" t="s">
        <v>174</v>
      </c>
      <c r="B241" s="163" t="s">
        <v>175</v>
      </c>
      <c r="C241" s="163" t="s">
        <v>176</v>
      </c>
      <c r="D241" s="163" t="s">
        <v>175</v>
      </c>
      <c r="E241" s="163" t="s">
        <v>176</v>
      </c>
      <c r="F241" s="163" t="s">
        <v>175</v>
      </c>
      <c r="G241" s="163" t="s">
        <v>176</v>
      </c>
      <c r="H241" s="163" t="s">
        <v>175</v>
      </c>
      <c r="I241" s="163" t="s">
        <v>176</v>
      </c>
      <c r="J241" s="164">
        <f>SUM(Reb__Est__por_faixa_etária!D22)</f>
        <v>759</v>
      </c>
      <c r="K241" s="165" t="s">
        <v>177</v>
      </c>
      <c r="L241" s="165" t="s">
        <v>178</v>
      </c>
      <c r="M241" s="154"/>
      <c r="N241" s="329"/>
      <c r="O241" s="323" t="s">
        <v>54</v>
      </c>
      <c r="P241" s="323" t="s">
        <v>55</v>
      </c>
      <c r="Q241" s="323" t="s">
        <v>56</v>
      </c>
      <c r="R241" s="166"/>
      <c r="S241" s="331" t="s">
        <v>179</v>
      </c>
      <c r="T241" s="331"/>
    </row>
    <row r="242" spans="1:20" s="155" customFormat="1" ht="15.75">
      <c r="A242" s="167" t="s">
        <v>180</v>
      </c>
      <c r="B242" s="200">
        <v>207</v>
      </c>
      <c r="C242" s="200">
        <v>25</v>
      </c>
      <c r="D242" s="200">
        <v>718</v>
      </c>
      <c r="E242" s="200">
        <v>355</v>
      </c>
      <c r="F242" s="200">
        <v>1038</v>
      </c>
      <c r="G242" s="200">
        <v>337</v>
      </c>
      <c r="H242" s="200">
        <v>158</v>
      </c>
      <c r="I242" s="200">
        <v>768</v>
      </c>
      <c r="J242" s="167"/>
      <c r="K242" s="170">
        <f>J241*0.6</f>
        <v>455.4000000000001</v>
      </c>
      <c r="L242" s="170">
        <f>J241*0.4</f>
        <v>303.6</v>
      </c>
      <c r="M242" s="154"/>
      <c r="N242" s="329"/>
      <c r="O242" s="323"/>
      <c r="P242" s="323"/>
      <c r="Q242" s="323"/>
      <c r="R242" s="166"/>
      <c r="S242" s="201">
        <f>S228</f>
        <v>2020</v>
      </c>
      <c r="T242" s="201">
        <f>T228</f>
        <v>2019</v>
      </c>
    </row>
    <row r="243" spans="1:20" s="155" customFormat="1" ht="15.75">
      <c r="A243" s="167" t="s">
        <v>181</v>
      </c>
      <c r="B243" s="200">
        <v>1359</v>
      </c>
      <c r="C243" s="200">
        <v>791</v>
      </c>
      <c r="D243" s="200">
        <v>394</v>
      </c>
      <c r="E243" s="200">
        <v>218</v>
      </c>
      <c r="F243" s="200">
        <v>202</v>
      </c>
      <c r="G243" s="200">
        <v>105</v>
      </c>
      <c r="H243" s="200">
        <v>48</v>
      </c>
      <c r="I243" s="200">
        <v>707</v>
      </c>
      <c r="J243" s="173"/>
      <c r="K243" s="174"/>
      <c r="L243" s="174"/>
      <c r="M243" s="154"/>
      <c r="N243" s="175" t="s">
        <v>67</v>
      </c>
      <c r="O243" s="176">
        <f>SUM(F242,H242,F249,H249)</f>
        <v>1196</v>
      </c>
      <c r="P243" s="176">
        <f>SUM(B242,D242,B249,D249,K242)</f>
        <v>1380.4</v>
      </c>
      <c r="Q243" s="177"/>
      <c r="R243" s="178"/>
      <c r="S243" s="179">
        <f>(O243+P243+O244+P244+O250+P250+O251+P251+Q251+Q250)</f>
        <v>9930.06</v>
      </c>
      <c r="T243" s="202">
        <v>9859</v>
      </c>
    </row>
    <row r="244" spans="1:20" s="155" customFormat="1" ht="15.75">
      <c r="A244" s="167" t="s">
        <v>182</v>
      </c>
      <c r="B244" s="200">
        <v>0</v>
      </c>
      <c r="C244" s="200">
        <v>15</v>
      </c>
      <c r="D244" s="200">
        <v>2</v>
      </c>
      <c r="E244" s="200">
        <v>27</v>
      </c>
      <c r="F244" s="200">
        <v>9</v>
      </c>
      <c r="G244" s="200">
        <v>17</v>
      </c>
      <c r="H244" s="200">
        <v>6</v>
      </c>
      <c r="I244" s="200">
        <v>97</v>
      </c>
      <c r="J244" s="173"/>
      <c r="K244" s="174"/>
      <c r="L244" s="174"/>
      <c r="M244" s="154"/>
      <c r="N244" s="175" t="s">
        <v>69</v>
      </c>
      <c r="O244" s="176">
        <f>SUM(G242,I242,G249,I249)</f>
        <v>1105</v>
      </c>
      <c r="P244" s="176">
        <f>SUM(C242,E242,C249,E249,L242)</f>
        <v>683.6</v>
      </c>
      <c r="Q244" s="180"/>
      <c r="R244" s="181"/>
      <c r="S244" s="182" t="s">
        <v>183</v>
      </c>
      <c r="T244" s="183">
        <f>S243-T243</f>
        <v>71.05999999999949</v>
      </c>
    </row>
    <row r="245" spans="1:20" s="155" customFormat="1" ht="15.75">
      <c r="A245" s="167" t="s">
        <v>184</v>
      </c>
      <c r="B245" s="200">
        <v>0</v>
      </c>
      <c r="C245" s="200">
        <v>0</v>
      </c>
      <c r="D245" s="200">
        <v>7</v>
      </c>
      <c r="E245" s="200">
        <v>45</v>
      </c>
      <c r="F245" s="200">
        <v>14</v>
      </c>
      <c r="G245" s="200">
        <v>0</v>
      </c>
      <c r="H245" s="200">
        <v>6</v>
      </c>
      <c r="I245" s="200">
        <v>0</v>
      </c>
      <c r="J245" s="173"/>
      <c r="K245" s="174"/>
      <c r="L245" s="174"/>
      <c r="M245" s="154"/>
      <c r="O245" s="156"/>
      <c r="P245" s="156"/>
      <c r="Q245" s="156"/>
      <c r="R245" s="157"/>
      <c r="S245" s="184"/>
      <c r="T245" s="185"/>
    </row>
    <row r="246" spans="1:20" s="155" customFormat="1" ht="6" customHeight="1">
      <c r="A246" s="174"/>
      <c r="B246"/>
      <c r="C246"/>
      <c r="D246"/>
      <c r="E246"/>
      <c r="F246"/>
      <c r="G246"/>
      <c r="H246"/>
      <c r="I246"/>
      <c r="J246" s="174"/>
      <c r="K246" s="174"/>
      <c r="L246" s="174"/>
      <c r="M246" s="154"/>
      <c r="O246" s="156"/>
      <c r="P246" s="156"/>
      <c r="Q246" s="156"/>
      <c r="R246" s="157"/>
      <c r="S246" s="184"/>
      <c r="T246" s="185"/>
    </row>
    <row r="247" spans="1:20" s="155" customFormat="1" ht="15.75">
      <c r="A247" s="160" t="s">
        <v>46</v>
      </c>
      <c r="B247" s="327" t="s">
        <v>169</v>
      </c>
      <c r="C247" s="327"/>
      <c r="D247" s="327" t="s">
        <v>170</v>
      </c>
      <c r="E247" s="327"/>
      <c r="F247" s="328" t="s">
        <v>171</v>
      </c>
      <c r="G247" s="328"/>
      <c r="H247" s="328" t="s">
        <v>172</v>
      </c>
      <c r="I247" s="328"/>
      <c r="J247" s="186"/>
      <c r="K247" s="186"/>
      <c r="L247" s="186"/>
      <c r="M247" s="154"/>
      <c r="N247" s="329" t="s">
        <v>46</v>
      </c>
      <c r="O247" s="330" t="s">
        <v>185</v>
      </c>
      <c r="P247" s="330"/>
      <c r="Q247" s="330"/>
      <c r="R247" s="161"/>
      <c r="S247" s="322">
        <v>2019</v>
      </c>
      <c r="T247" s="322"/>
    </row>
    <row r="248" spans="1:20" s="155" customFormat="1" ht="13.5" customHeight="1">
      <c r="A248" s="162" t="s">
        <v>186</v>
      </c>
      <c r="B248" s="187" t="s">
        <v>175</v>
      </c>
      <c r="C248" s="187" t="s">
        <v>176</v>
      </c>
      <c r="D248" s="187" t="s">
        <v>175</v>
      </c>
      <c r="E248" s="187" t="s">
        <v>176</v>
      </c>
      <c r="F248" s="163" t="s">
        <v>175</v>
      </c>
      <c r="G248" s="163" t="s">
        <v>176</v>
      </c>
      <c r="H248" s="163" t="s">
        <v>175</v>
      </c>
      <c r="I248" s="163" t="s">
        <v>176</v>
      </c>
      <c r="J248" s="186"/>
      <c r="K248" s="186"/>
      <c r="L248" s="186"/>
      <c r="M248" s="154"/>
      <c r="N248" s="329"/>
      <c r="O248" s="323" t="s">
        <v>57</v>
      </c>
      <c r="P248" s="324" t="s">
        <v>187</v>
      </c>
      <c r="Q248" s="324" t="s">
        <v>59</v>
      </c>
      <c r="R248" s="188"/>
      <c r="S248" s="325" t="s">
        <v>57</v>
      </c>
      <c r="T248" s="326" t="s">
        <v>187</v>
      </c>
    </row>
    <row r="249" spans="1:24" s="155" customFormat="1" ht="15.75">
      <c r="A249" s="167" t="s">
        <v>180</v>
      </c>
      <c r="B249" s="204"/>
      <c r="C249" s="204"/>
      <c r="D249" s="204"/>
      <c r="E249" s="204"/>
      <c r="F249" s="205"/>
      <c r="G249" s="205"/>
      <c r="H249" s="205"/>
      <c r="I249" s="205"/>
      <c r="J249" s="173"/>
      <c r="K249" s="174"/>
      <c r="L249" s="174"/>
      <c r="M249" s="154"/>
      <c r="N249" s="329"/>
      <c r="O249" s="323"/>
      <c r="P249" s="323"/>
      <c r="Q249" s="324"/>
      <c r="R249" s="188"/>
      <c r="S249" s="325"/>
      <c r="T249" s="325"/>
      <c r="U249"/>
      <c r="V249"/>
      <c r="W249"/>
      <c r="X249"/>
    </row>
    <row r="250" spans="1:24" s="155" customFormat="1" ht="15.75">
      <c r="A250" s="189" t="s">
        <v>181</v>
      </c>
      <c r="B250" s="200">
        <v>495</v>
      </c>
      <c r="C250" s="200">
        <v>442</v>
      </c>
      <c r="D250" s="200">
        <v>448</v>
      </c>
      <c r="E250" s="200">
        <v>268</v>
      </c>
      <c r="F250" s="200">
        <v>134</v>
      </c>
      <c r="G250" s="200">
        <v>370</v>
      </c>
      <c r="H250" s="200">
        <v>73</v>
      </c>
      <c r="I250" s="200">
        <v>1252</v>
      </c>
      <c r="J250" s="173"/>
      <c r="K250" s="174"/>
      <c r="L250" s="174"/>
      <c r="M250" s="154"/>
      <c r="N250" s="190" t="s">
        <v>67</v>
      </c>
      <c r="O250" s="176">
        <f>SUM(B243,B244,B245,B250,B251)*0.69</f>
        <v>1286.1599999999999</v>
      </c>
      <c r="P250" s="176">
        <f>SUM(D243,F243,H243,D245,F245,H245,D250,F250,H250)*0.95</f>
        <v>1259.7</v>
      </c>
      <c r="Q250" s="176">
        <f>SUM(D244,F244,H244,D251,F251,H251)</f>
        <v>17</v>
      </c>
      <c r="R250" s="181"/>
      <c r="S250" s="191">
        <v>1575</v>
      </c>
      <c r="T250" s="192">
        <v>1920</v>
      </c>
      <c r="U250" s="193">
        <f>O250/S250*1-1</f>
        <v>-0.18339047619047633</v>
      </c>
      <c r="V250" s="193">
        <f>P250/T250*1-1</f>
        <v>-0.34390624999999997</v>
      </c>
      <c r="W250" s="194">
        <f>O250-S250</f>
        <v>-288.84000000000015</v>
      </c>
      <c r="X250" s="194">
        <f>P250-T250</f>
        <v>-660.3</v>
      </c>
    </row>
    <row r="251" spans="1:24" s="155" customFormat="1" ht="15.75">
      <c r="A251" s="189" t="s">
        <v>182</v>
      </c>
      <c r="B251" s="200">
        <v>10</v>
      </c>
      <c r="C251" s="200">
        <v>17</v>
      </c>
      <c r="D251" s="200">
        <v>0</v>
      </c>
      <c r="E251" s="200">
        <v>58</v>
      </c>
      <c r="F251" s="200">
        <v>0</v>
      </c>
      <c r="G251" s="200">
        <v>35</v>
      </c>
      <c r="H251" s="200">
        <v>0</v>
      </c>
      <c r="I251" s="200">
        <v>166</v>
      </c>
      <c r="J251" s="173"/>
      <c r="K251" s="174"/>
      <c r="L251" s="174"/>
      <c r="M251" s="154"/>
      <c r="N251" s="190" t="s">
        <v>69</v>
      </c>
      <c r="O251" s="176">
        <f>SUM(C243,C244,C245,C250,C251)*0.68</f>
        <v>860.2</v>
      </c>
      <c r="P251" s="176">
        <f>SUM(E243,G243,I243,E244,E245,G245,I245,E250,G250,I250,E251)*0.63</f>
        <v>1921.5</v>
      </c>
      <c r="Q251" s="176">
        <f>SUM(G244,I244,G251,I251)*0.7</f>
        <v>220.5</v>
      </c>
      <c r="R251" s="181"/>
      <c r="S251" s="195">
        <v>1054</v>
      </c>
      <c r="T251" s="195">
        <v>2403</v>
      </c>
      <c r="U251" s="193">
        <f>O251/S251*1-1</f>
        <v>-0.18387096774193545</v>
      </c>
      <c r="V251" s="193">
        <f>P251/T251*1-1</f>
        <v>-0.20037453183520604</v>
      </c>
      <c r="W251" s="194">
        <f>O251-S251</f>
        <v>-193.79999999999995</v>
      </c>
      <c r="X251" s="194">
        <f>P251-T251</f>
        <v>-481.5</v>
      </c>
    </row>
    <row r="252" spans="1:20" ht="15.75">
      <c r="A252" s="196"/>
      <c r="J252" s="196"/>
      <c r="K252" s="196"/>
      <c r="L252" s="196"/>
      <c r="M252" s="197"/>
      <c r="N252" s="196"/>
      <c r="O252" s="196"/>
      <c r="P252" s="196"/>
      <c r="Q252" s="196"/>
      <c r="R252" s="196"/>
      <c r="S252" s="198"/>
      <c r="T252" s="199"/>
    </row>
    <row r="253" spans="1:20" s="155" customFormat="1" ht="16.5" customHeight="1">
      <c r="A253" s="152" t="s">
        <v>113</v>
      </c>
      <c r="B253" s="153"/>
      <c r="C253" s="153"/>
      <c r="D253" s="153"/>
      <c r="E253" s="153"/>
      <c r="F253" s="153"/>
      <c r="G253" s="153"/>
      <c r="H253" s="153"/>
      <c r="I253" s="153"/>
      <c r="J253" s="332" t="s">
        <v>167</v>
      </c>
      <c r="K253" s="333" t="s">
        <v>168</v>
      </c>
      <c r="L253" s="333"/>
      <c r="M253" s="154"/>
      <c r="O253" s="156"/>
      <c r="P253" s="156"/>
      <c r="Q253" s="156"/>
      <c r="R253" s="157"/>
      <c r="S253" s="158"/>
      <c r="T253" s="159"/>
    </row>
    <row r="254" spans="1:20" s="155" customFormat="1" ht="14.25" customHeight="1">
      <c r="A254" s="160" t="s">
        <v>46</v>
      </c>
      <c r="B254" s="328" t="s">
        <v>169</v>
      </c>
      <c r="C254" s="328"/>
      <c r="D254" s="328" t="s">
        <v>170</v>
      </c>
      <c r="E254" s="328"/>
      <c r="F254" s="328" t="s">
        <v>171</v>
      </c>
      <c r="G254" s="328"/>
      <c r="H254" s="328" t="s">
        <v>172</v>
      </c>
      <c r="I254" s="328"/>
      <c r="J254" s="332"/>
      <c r="K254" s="334" t="s">
        <v>173</v>
      </c>
      <c r="L254" s="334"/>
      <c r="M254" s="154"/>
      <c r="N254" s="329" t="s">
        <v>46</v>
      </c>
      <c r="O254" s="330" t="s">
        <v>47</v>
      </c>
      <c r="P254" s="330"/>
      <c r="Q254" s="330"/>
      <c r="R254" s="161"/>
      <c r="S254" s="331" t="s">
        <v>131</v>
      </c>
      <c r="T254" s="331"/>
    </row>
    <row r="255" spans="1:20" s="155" customFormat="1" ht="15.75" customHeight="1">
      <c r="A255" s="162" t="s">
        <v>174</v>
      </c>
      <c r="B255" s="163" t="s">
        <v>175</v>
      </c>
      <c r="C255" s="163" t="s">
        <v>176</v>
      </c>
      <c r="D255" s="163" t="s">
        <v>175</v>
      </c>
      <c r="E255" s="163" t="s">
        <v>176</v>
      </c>
      <c r="F255" s="163" t="s">
        <v>175</v>
      </c>
      <c r="G255" s="163" t="s">
        <v>176</v>
      </c>
      <c r="H255" s="163" t="s">
        <v>175</v>
      </c>
      <c r="I255" s="163" t="s">
        <v>176</v>
      </c>
      <c r="J255" s="164">
        <f>SUM(Reb__Est__por_faixa_etária!D23)</f>
        <v>951</v>
      </c>
      <c r="K255" s="165" t="s">
        <v>177</v>
      </c>
      <c r="L255" s="165" t="s">
        <v>178</v>
      </c>
      <c r="M255" s="154"/>
      <c r="N255" s="329"/>
      <c r="O255" s="323" t="s">
        <v>54</v>
      </c>
      <c r="P255" s="323" t="s">
        <v>55</v>
      </c>
      <c r="Q255" s="323" t="s">
        <v>56</v>
      </c>
      <c r="R255" s="166"/>
      <c r="S255" s="331" t="s">
        <v>179</v>
      </c>
      <c r="T255" s="331"/>
    </row>
    <row r="256" spans="1:20" s="155" customFormat="1" ht="15.75">
      <c r="A256" s="167" t="s">
        <v>180</v>
      </c>
      <c r="B256" s="200">
        <v>70</v>
      </c>
      <c r="C256" s="200">
        <v>20</v>
      </c>
      <c r="D256" s="200">
        <v>183</v>
      </c>
      <c r="E256" s="200">
        <v>42</v>
      </c>
      <c r="F256" s="200">
        <v>152</v>
      </c>
      <c r="G256" s="200">
        <v>74</v>
      </c>
      <c r="H256" s="200">
        <v>65</v>
      </c>
      <c r="I256" s="200">
        <v>204</v>
      </c>
      <c r="J256" s="167"/>
      <c r="K256" s="170">
        <f>J255*0.6</f>
        <v>570.6000000000001</v>
      </c>
      <c r="L256" s="170">
        <f>J255*0.4</f>
        <v>380.40000000000003</v>
      </c>
      <c r="M256" s="154"/>
      <c r="N256" s="329"/>
      <c r="O256" s="323"/>
      <c r="P256" s="323"/>
      <c r="Q256" s="323"/>
      <c r="R256" s="166"/>
      <c r="S256" s="201">
        <f>S242</f>
        <v>2020</v>
      </c>
      <c r="T256" s="201">
        <f>T242</f>
        <v>2019</v>
      </c>
    </row>
    <row r="257" spans="1:20" s="155" customFormat="1" ht="15.75">
      <c r="A257" s="167" t="s">
        <v>181</v>
      </c>
      <c r="B257" s="200">
        <v>2558</v>
      </c>
      <c r="C257" s="200">
        <v>1084</v>
      </c>
      <c r="D257" s="200">
        <v>1061</v>
      </c>
      <c r="E257" s="200">
        <v>402</v>
      </c>
      <c r="F257" s="200">
        <v>337</v>
      </c>
      <c r="G257" s="200">
        <v>188</v>
      </c>
      <c r="H257" s="200">
        <v>172</v>
      </c>
      <c r="I257" s="200">
        <v>1139</v>
      </c>
      <c r="J257" s="173"/>
      <c r="K257" s="174"/>
      <c r="L257" s="174"/>
      <c r="M257" s="154"/>
      <c r="N257" s="175" t="s">
        <v>67</v>
      </c>
      <c r="O257" s="176">
        <f>SUM(F256,H256,F263,H263)</f>
        <v>217</v>
      </c>
      <c r="P257" s="176">
        <f>SUM(B256,D256,B263,D263,K256)</f>
        <v>823.6000000000001</v>
      </c>
      <c r="Q257" s="177"/>
      <c r="R257" s="178"/>
      <c r="S257" s="179">
        <f>(O257+P257+O258+P258+O264+P264+O265+P265+Q265+Q264)</f>
        <v>8886.220000000001</v>
      </c>
      <c r="T257" s="202">
        <v>9432</v>
      </c>
    </row>
    <row r="258" spans="1:20" s="155" customFormat="1" ht="15.75">
      <c r="A258" s="167" t="s">
        <v>182</v>
      </c>
      <c r="B258" s="200">
        <v>11</v>
      </c>
      <c r="C258" s="200">
        <v>39</v>
      </c>
      <c r="D258" s="200">
        <v>0</v>
      </c>
      <c r="E258" s="200">
        <v>40</v>
      </c>
      <c r="F258" s="200">
        <v>1</v>
      </c>
      <c r="G258" s="200">
        <v>15</v>
      </c>
      <c r="H258" s="200">
        <v>1</v>
      </c>
      <c r="I258" s="200">
        <v>84</v>
      </c>
      <c r="J258" s="173"/>
      <c r="K258" s="174"/>
      <c r="L258" s="174"/>
      <c r="M258" s="154"/>
      <c r="N258" s="175" t="s">
        <v>69</v>
      </c>
      <c r="O258" s="176">
        <f>SUM(G256,I256,G263,I263)</f>
        <v>278</v>
      </c>
      <c r="P258" s="176">
        <f>SUM(C256,E256,C263,E263,L256)</f>
        <v>442.40000000000003</v>
      </c>
      <c r="Q258" s="180"/>
      <c r="R258" s="181"/>
      <c r="S258" s="182" t="s">
        <v>183</v>
      </c>
      <c r="T258" s="183">
        <f>S257-T257</f>
        <v>-545.7799999999988</v>
      </c>
    </row>
    <row r="259" spans="1:20" s="155" customFormat="1" ht="15.75">
      <c r="A259" s="167" t="s">
        <v>184</v>
      </c>
      <c r="B259" s="211"/>
      <c r="C259" s="211"/>
      <c r="D259" s="211"/>
      <c r="E259" s="211"/>
      <c r="F259" s="211"/>
      <c r="G259" s="211"/>
      <c r="H259" s="211"/>
      <c r="I259" s="211"/>
      <c r="J259" s="173"/>
      <c r="K259" s="174"/>
      <c r="L259" s="174"/>
      <c r="M259" s="154"/>
      <c r="O259" s="156"/>
      <c r="P259" s="156"/>
      <c r="Q259" s="156"/>
      <c r="R259" s="157"/>
      <c r="S259" s="184"/>
      <c r="T259" s="185"/>
    </row>
    <row r="260" spans="1:20" s="155" customFormat="1" ht="6" customHeight="1">
      <c r="A260" s="174"/>
      <c r="B260"/>
      <c r="C260"/>
      <c r="D260"/>
      <c r="E260"/>
      <c r="F260"/>
      <c r="G260"/>
      <c r="H260"/>
      <c r="I260"/>
      <c r="J260" s="174"/>
      <c r="K260" s="174"/>
      <c r="L260" s="174"/>
      <c r="M260" s="154"/>
      <c r="O260" s="156"/>
      <c r="P260" s="156"/>
      <c r="Q260" s="156"/>
      <c r="R260" s="157"/>
      <c r="S260" s="184"/>
      <c r="T260" s="185"/>
    </row>
    <row r="261" spans="1:20" s="155" customFormat="1" ht="15.75">
      <c r="A261" s="160" t="s">
        <v>46</v>
      </c>
      <c r="B261" s="327" t="s">
        <v>169</v>
      </c>
      <c r="C261" s="327"/>
      <c r="D261" s="327" t="s">
        <v>170</v>
      </c>
      <c r="E261" s="327"/>
      <c r="F261" s="328" t="s">
        <v>171</v>
      </c>
      <c r="G261" s="328"/>
      <c r="H261" s="328" t="s">
        <v>172</v>
      </c>
      <c r="I261" s="328"/>
      <c r="J261" s="186"/>
      <c r="K261" s="186"/>
      <c r="L261" s="186"/>
      <c r="M261" s="154"/>
      <c r="N261" s="329" t="s">
        <v>46</v>
      </c>
      <c r="O261" s="330" t="s">
        <v>185</v>
      </c>
      <c r="P261" s="330"/>
      <c r="Q261" s="330"/>
      <c r="R261" s="161"/>
      <c r="S261" s="322">
        <v>2019</v>
      </c>
      <c r="T261" s="322"/>
    </row>
    <row r="262" spans="1:20" s="155" customFormat="1" ht="13.5" customHeight="1">
      <c r="A262" s="162" t="s">
        <v>186</v>
      </c>
      <c r="B262" s="187" t="s">
        <v>175</v>
      </c>
      <c r="C262" s="187" t="s">
        <v>176</v>
      </c>
      <c r="D262" s="187" t="s">
        <v>175</v>
      </c>
      <c r="E262" s="187" t="s">
        <v>176</v>
      </c>
      <c r="F262" s="163" t="s">
        <v>175</v>
      </c>
      <c r="G262" s="163" t="s">
        <v>176</v>
      </c>
      <c r="H262" s="163" t="s">
        <v>175</v>
      </c>
      <c r="I262" s="163" t="s">
        <v>176</v>
      </c>
      <c r="J262" s="186"/>
      <c r="K262" s="186"/>
      <c r="L262" s="186"/>
      <c r="M262" s="154"/>
      <c r="N262" s="329"/>
      <c r="O262" s="323" t="s">
        <v>57</v>
      </c>
      <c r="P262" s="324" t="s">
        <v>187</v>
      </c>
      <c r="Q262" s="324" t="s">
        <v>59</v>
      </c>
      <c r="R262" s="188"/>
      <c r="S262" s="325" t="s">
        <v>57</v>
      </c>
      <c r="T262" s="326" t="s">
        <v>187</v>
      </c>
    </row>
    <row r="263" spans="1:24" s="155" customFormat="1" ht="15.75">
      <c r="A263" s="167" t="s">
        <v>180</v>
      </c>
      <c r="B263" s="204"/>
      <c r="C263" s="204"/>
      <c r="D263" s="204"/>
      <c r="E263" s="204"/>
      <c r="F263" s="205"/>
      <c r="G263" s="205"/>
      <c r="H263" s="205"/>
      <c r="I263" s="205"/>
      <c r="J263" s="173"/>
      <c r="K263" s="174"/>
      <c r="L263" s="174"/>
      <c r="M263" s="154"/>
      <c r="N263" s="329"/>
      <c r="O263" s="323"/>
      <c r="P263" s="323"/>
      <c r="Q263" s="324"/>
      <c r="R263" s="188"/>
      <c r="S263" s="325"/>
      <c r="T263" s="325"/>
      <c r="U263"/>
      <c r="V263"/>
      <c r="W263"/>
      <c r="X263"/>
    </row>
    <row r="264" spans="1:24" s="155" customFormat="1" ht="15.75">
      <c r="A264" s="189" t="s">
        <v>181</v>
      </c>
      <c r="B264" s="200">
        <v>717</v>
      </c>
      <c r="C264" s="200">
        <v>450</v>
      </c>
      <c r="D264" s="200">
        <v>361</v>
      </c>
      <c r="E264" s="200">
        <v>174</v>
      </c>
      <c r="F264" s="200">
        <v>185</v>
      </c>
      <c r="G264" s="200">
        <v>58</v>
      </c>
      <c r="H264" s="200">
        <v>99</v>
      </c>
      <c r="I264" s="200">
        <v>524</v>
      </c>
      <c r="J264" s="173"/>
      <c r="K264" s="174"/>
      <c r="L264" s="174"/>
      <c r="M264" s="154"/>
      <c r="N264" s="190" t="s">
        <v>67</v>
      </c>
      <c r="O264" s="176">
        <f>SUM(B257,B258,B259,B264,B265)*0.53</f>
        <v>1746.3500000000001</v>
      </c>
      <c r="P264" s="176">
        <f>SUM(D257,F257,H257,D259,F259,H259,D264,F264,H264)*0.6</f>
        <v>1329</v>
      </c>
      <c r="Q264" s="176">
        <f>SUM(D258,F258,H258,D265,F265,H265)*0.8</f>
        <v>9.600000000000001</v>
      </c>
      <c r="R264" s="181"/>
      <c r="S264" s="191">
        <v>2146</v>
      </c>
      <c r="T264" s="192">
        <v>1779</v>
      </c>
      <c r="U264" s="193">
        <f>O264/S264*1-1</f>
        <v>-0.1862301957129543</v>
      </c>
      <c r="V264" s="193">
        <f>P264/T264*1-1</f>
        <v>-0.25295109612141653</v>
      </c>
      <c r="W264" s="194">
        <f>O264-S264</f>
        <v>-399.64999999999986</v>
      </c>
      <c r="X264" s="194">
        <f>P264-T264</f>
        <v>-450</v>
      </c>
    </row>
    <row r="265" spans="1:24" s="155" customFormat="1" ht="15.75">
      <c r="A265" s="189" t="s">
        <v>182</v>
      </c>
      <c r="B265" s="200">
        <v>9</v>
      </c>
      <c r="C265" s="200">
        <v>6</v>
      </c>
      <c r="D265" s="200">
        <v>3</v>
      </c>
      <c r="E265" s="200">
        <v>21</v>
      </c>
      <c r="F265" s="200">
        <v>1</v>
      </c>
      <c r="G265" s="200">
        <v>31</v>
      </c>
      <c r="H265" s="200">
        <v>6</v>
      </c>
      <c r="I265" s="200">
        <v>358</v>
      </c>
      <c r="J265" s="200"/>
      <c r="K265" s="200"/>
      <c r="L265" s="174"/>
      <c r="M265" s="154"/>
      <c r="N265" s="190" t="s">
        <v>69</v>
      </c>
      <c r="O265" s="176">
        <f>SUM(C257,C258,C259,C264,C265)*0.73</f>
        <v>1152.67</v>
      </c>
      <c r="P265" s="176">
        <f>SUM(E257,G257,I257,E258,E259,G259,I259,E264,G264,I264,E265)</f>
        <v>2546</v>
      </c>
      <c r="Q265" s="176">
        <f>SUM(G258,I258,G265,I265)*0.7</f>
        <v>341.59999999999997</v>
      </c>
      <c r="R265" s="181"/>
      <c r="S265" s="195">
        <v>1419</v>
      </c>
      <c r="T265" s="195">
        <v>3202</v>
      </c>
      <c r="U265" s="193">
        <f>O265/S265*1-1</f>
        <v>-0.18768851303735024</v>
      </c>
      <c r="V265" s="193">
        <f>P265/T265*1-1</f>
        <v>-0.2048719550281074</v>
      </c>
      <c r="W265" s="194">
        <f>O265-S265</f>
        <v>-266.3299999999999</v>
      </c>
      <c r="X265" s="194">
        <f>P265-T265</f>
        <v>-656</v>
      </c>
    </row>
    <row r="266" spans="1:20" ht="15.75">
      <c r="A266" s="196"/>
      <c r="D266" s="200"/>
      <c r="E266" s="200"/>
      <c r="F266" s="200"/>
      <c r="G266" s="200"/>
      <c r="H266" s="200"/>
      <c r="I266" s="200"/>
      <c r="J266" s="196"/>
      <c r="K266" s="196"/>
      <c r="L266" s="196"/>
      <c r="M266" s="197"/>
      <c r="N266" s="196"/>
      <c r="O266" s="196"/>
      <c r="P266" s="196"/>
      <c r="Q266" s="196"/>
      <c r="R266" s="196"/>
      <c r="S266" s="198"/>
      <c r="T266" s="199"/>
    </row>
    <row r="267" spans="1:20" s="155" customFormat="1" ht="16.5" customHeight="1">
      <c r="A267" s="152" t="s">
        <v>197</v>
      </c>
      <c r="B267" s="153"/>
      <c r="C267" s="153"/>
      <c r="D267" s="200"/>
      <c r="E267" s="200"/>
      <c r="F267" s="200"/>
      <c r="G267" s="200"/>
      <c r="H267" s="200"/>
      <c r="I267" s="200"/>
      <c r="J267" s="332" t="s">
        <v>167</v>
      </c>
      <c r="K267" s="333" t="s">
        <v>168</v>
      </c>
      <c r="L267" s="333"/>
      <c r="M267" s="154"/>
      <c r="O267" s="156"/>
      <c r="P267" s="156"/>
      <c r="Q267" s="156"/>
      <c r="R267" s="157"/>
      <c r="S267" s="158"/>
      <c r="T267" s="159"/>
    </row>
    <row r="268" spans="1:20" s="155" customFormat="1" ht="14.25" customHeight="1">
      <c r="A268" s="160" t="s">
        <v>46</v>
      </c>
      <c r="B268" s="328" t="s">
        <v>169</v>
      </c>
      <c r="C268" s="328"/>
      <c r="D268" s="328" t="s">
        <v>170</v>
      </c>
      <c r="E268" s="328"/>
      <c r="F268" s="328" t="s">
        <v>171</v>
      </c>
      <c r="G268" s="328"/>
      <c r="H268" s="328" t="s">
        <v>172</v>
      </c>
      <c r="I268" s="328"/>
      <c r="J268" s="332"/>
      <c r="K268" s="334" t="s">
        <v>173</v>
      </c>
      <c r="L268" s="334"/>
      <c r="M268" s="154"/>
      <c r="N268" s="329" t="s">
        <v>46</v>
      </c>
      <c r="O268" s="330" t="s">
        <v>47</v>
      </c>
      <c r="P268" s="330"/>
      <c r="Q268" s="330"/>
      <c r="R268" s="161"/>
      <c r="S268" s="331" t="s">
        <v>131</v>
      </c>
      <c r="T268" s="331"/>
    </row>
    <row r="269" spans="1:20" s="155" customFormat="1" ht="15.75" customHeight="1">
      <c r="A269" s="162" t="s">
        <v>174</v>
      </c>
      <c r="B269" s="163" t="s">
        <v>175</v>
      </c>
      <c r="C269" s="163" t="s">
        <v>176</v>
      </c>
      <c r="D269" s="163" t="s">
        <v>175</v>
      </c>
      <c r="E269" s="163" t="s">
        <v>176</v>
      </c>
      <c r="F269" s="163" t="s">
        <v>175</v>
      </c>
      <c r="G269" s="163" t="s">
        <v>176</v>
      </c>
      <c r="H269" s="163" t="s">
        <v>175</v>
      </c>
      <c r="I269" s="163" t="s">
        <v>176</v>
      </c>
      <c r="J269" s="164">
        <f>SUM(Reb__Est__por_faixa_etária!D24)</f>
        <v>734</v>
      </c>
      <c r="K269" s="165" t="s">
        <v>177</v>
      </c>
      <c r="L269" s="165" t="s">
        <v>178</v>
      </c>
      <c r="M269" s="154"/>
      <c r="N269" s="329"/>
      <c r="O269" s="323" t="s">
        <v>54</v>
      </c>
      <c r="P269" s="323" t="s">
        <v>55</v>
      </c>
      <c r="Q269" s="323" t="s">
        <v>56</v>
      </c>
      <c r="R269" s="166"/>
      <c r="S269" s="331" t="s">
        <v>179</v>
      </c>
      <c r="T269" s="331"/>
    </row>
    <row r="270" spans="1:20" s="155" customFormat="1" ht="15.75">
      <c r="A270" s="167" t="s">
        <v>180</v>
      </c>
      <c r="B270" s="200">
        <v>13</v>
      </c>
      <c r="C270" s="200">
        <v>9</v>
      </c>
      <c r="D270" s="200">
        <v>50</v>
      </c>
      <c r="E270" s="200">
        <v>34</v>
      </c>
      <c r="F270" s="200">
        <v>32</v>
      </c>
      <c r="G270" s="200">
        <v>107</v>
      </c>
      <c r="H270" s="200">
        <v>31</v>
      </c>
      <c r="I270" s="200">
        <v>522</v>
      </c>
      <c r="J270" s="167"/>
      <c r="K270" s="170">
        <f>J269*0.6</f>
        <v>440.4000000000001</v>
      </c>
      <c r="L270" s="170">
        <f>J269*0.4</f>
        <v>293.6</v>
      </c>
      <c r="M270" s="154"/>
      <c r="N270" s="329"/>
      <c r="O270" s="323"/>
      <c r="P270" s="323"/>
      <c r="Q270" s="323"/>
      <c r="R270" s="166"/>
      <c r="S270" s="201">
        <f>S256</f>
        <v>2020</v>
      </c>
      <c r="T270" s="201">
        <f>T256</f>
        <v>2019</v>
      </c>
    </row>
    <row r="271" spans="1:20" s="155" customFormat="1" ht="15.75">
      <c r="A271" s="167" t="s">
        <v>181</v>
      </c>
      <c r="B271" s="200">
        <v>1001</v>
      </c>
      <c r="C271" s="200">
        <v>779</v>
      </c>
      <c r="D271" s="200">
        <v>1175</v>
      </c>
      <c r="E271" s="200">
        <v>624</v>
      </c>
      <c r="F271" s="200">
        <v>297</v>
      </c>
      <c r="G271" s="200">
        <v>417</v>
      </c>
      <c r="H271" s="200">
        <v>33</v>
      </c>
      <c r="I271" s="200">
        <v>424</v>
      </c>
      <c r="J271" s="173"/>
      <c r="K271" s="174"/>
      <c r="L271" s="174"/>
      <c r="M271" s="154"/>
      <c r="N271" s="175" t="s">
        <v>67</v>
      </c>
      <c r="O271" s="176">
        <f>SUM(F270,H270,F277,H277)</f>
        <v>83</v>
      </c>
      <c r="P271" s="176">
        <f>SUM(B270,D270,B277,D277,K270)</f>
        <v>512.4000000000001</v>
      </c>
      <c r="Q271" s="177"/>
      <c r="R271" s="178"/>
      <c r="S271" s="179">
        <f>(O271+P271+O272+P272+O278+P278+O279+P279+Q279+Q278)</f>
        <v>7832.9</v>
      </c>
      <c r="T271" s="202">
        <v>11065</v>
      </c>
    </row>
    <row r="272" spans="1:20" s="155" customFormat="1" ht="15.75">
      <c r="A272" s="167" t="s">
        <v>182</v>
      </c>
      <c r="B272" s="200">
        <v>0</v>
      </c>
      <c r="C272" s="200">
        <v>4</v>
      </c>
      <c r="D272" s="200">
        <v>0</v>
      </c>
      <c r="E272" s="200">
        <v>31</v>
      </c>
      <c r="F272" s="200">
        <v>0</v>
      </c>
      <c r="G272" s="200">
        <v>11</v>
      </c>
      <c r="H272" s="200">
        <v>0</v>
      </c>
      <c r="I272" s="200">
        <v>113</v>
      </c>
      <c r="J272" s="173"/>
      <c r="K272" s="174"/>
      <c r="L272" s="174"/>
      <c r="M272" s="154"/>
      <c r="N272" s="175" t="s">
        <v>69</v>
      </c>
      <c r="O272" s="176">
        <f>SUM(G270,I270,G277,I277)</f>
        <v>640</v>
      </c>
      <c r="P272" s="176">
        <f>SUM(C270,E270,C277,E277,L270)</f>
        <v>336.6</v>
      </c>
      <c r="Q272" s="180"/>
      <c r="R272" s="181"/>
      <c r="S272" s="182" t="s">
        <v>183</v>
      </c>
      <c r="T272" s="183">
        <f>S271-T271</f>
        <v>-3232.1000000000004</v>
      </c>
    </row>
    <row r="273" spans="1:20" s="155" customFormat="1" ht="15.75">
      <c r="A273" s="167" t="s">
        <v>184</v>
      </c>
      <c r="B273" s="200">
        <v>11</v>
      </c>
      <c r="C273" s="200">
        <v>28</v>
      </c>
      <c r="D273" s="200">
        <v>25</v>
      </c>
      <c r="E273" s="200">
        <v>48</v>
      </c>
      <c r="F273" s="200">
        <v>0</v>
      </c>
      <c r="G273" s="200">
        <v>1</v>
      </c>
      <c r="H273" s="200">
        <v>0</v>
      </c>
      <c r="I273" s="200">
        <v>9</v>
      </c>
      <c r="J273" s="173"/>
      <c r="K273" s="174"/>
      <c r="L273" s="174"/>
      <c r="M273" s="154"/>
      <c r="O273" s="156"/>
      <c r="P273" s="156"/>
      <c r="Q273" s="156"/>
      <c r="R273" s="157"/>
      <c r="S273" s="184"/>
      <c r="T273" s="185"/>
    </row>
    <row r="274" spans="1:20" s="155" customFormat="1" ht="6" customHeight="1">
      <c r="A274" s="174"/>
      <c r="B274"/>
      <c r="C274"/>
      <c r="D274"/>
      <c r="E274"/>
      <c r="F274"/>
      <c r="G274"/>
      <c r="H274"/>
      <c r="I274"/>
      <c r="J274" s="174"/>
      <c r="K274" s="174"/>
      <c r="L274" s="174"/>
      <c r="M274" s="154"/>
      <c r="O274" s="156"/>
      <c r="P274" s="156"/>
      <c r="Q274" s="156"/>
      <c r="R274" s="157"/>
      <c r="S274" s="184"/>
      <c r="T274" s="185"/>
    </row>
    <row r="275" spans="1:20" s="155" customFormat="1" ht="15.75">
      <c r="A275" s="160" t="s">
        <v>46</v>
      </c>
      <c r="B275" s="327" t="s">
        <v>169</v>
      </c>
      <c r="C275" s="327"/>
      <c r="D275" s="327" t="s">
        <v>170</v>
      </c>
      <c r="E275" s="327"/>
      <c r="F275" s="328" t="s">
        <v>171</v>
      </c>
      <c r="G275" s="328"/>
      <c r="H275" s="328" t="s">
        <v>172</v>
      </c>
      <c r="I275" s="328"/>
      <c r="J275" s="186"/>
      <c r="K275" s="186"/>
      <c r="L275" s="186"/>
      <c r="M275" s="154"/>
      <c r="N275" s="329" t="s">
        <v>46</v>
      </c>
      <c r="O275" s="330" t="s">
        <v>185</v>
      </c>
      <c r="P275" s="330"/>
      <c r="Q275" s="330"/>
      <c r="R275" s="161"/>
      <c r="S275" s="322">
        <v>2019</v>
      </c>
      <c r="T275" s="322"/>
    </row>
    <row r="276" spans="1:20" s="155" customFormat="1" ht="13.5" customHeight="1">
      <c r="A276" s="162" t="s">
        <v>186</v>
      </c>
      <c r="B276" s="187" t="s">
        <v>175</v>
      </c>
      <c r="C276" s="187" t="s">
        <v>176</v>
      </c>
      <c r="D276" s="187" t="s">
        <v>175</v>
      </c>
      <c r="E276" s="187" t="s">
        <v>176</v>
      </c>
      <c r="F276" s="163" t="s">
        <v>175</v>
      </c>
      <c r="G276" s="163" t="s">
        <v>176</v>
      </c>
      <c r="H276" s="163" t="s">
        <v>175</v>
      </c>
      <c r="I276" s="163" t="s">
        <v>176</v>
      </c>
      <c r="J276" s="186"/>
      <c r="K276" s="186"/>
      <c r="L276" s="186"/>
      <c r="M276" s="154"/>
      <c r="N276" s="329"/>
      <c r="O276" s="323" t="s">
        <v>57</v>
      </c>
      <c r="P276" s="324" t="s">
        <v>187</v>
      </c>
      <c r="Q276" s="324" t="s">
        <v>59</v>
      </c>
      <c r="R276" s="188"/>
      <c r="S276" s="325" t="s">
        <v>57</v>
      </c>
      <c r="T276" s="326" t="s">
        <v>187</v>
      </c>
    </row>
    <row r="277" spans="1:24" s="155" customFormat="1" ht="15.75">
      <c r="A277" s="167" t="s">
        <v>180</v>
      </c>
      <c r="B277" s="200">
        <v>1</v>
      </c>
      <c r="C277" s="200">
        <v>0</v>
      </c>
      <c r="D277" s="200">
        <v>8</v>
      </c>
      <c r="E277" s="200">
        <v>0</v>
      </c>
      <c r="F277" s="200">
        <v>20</v>
      </c>
      <c r="G277" s="200">
        <v>0</v>
      </c>
      <c r="H277" s="200">
        <v>0</v>
      </c>
      <c r="I277" s="200">
        <v>11</v>
      </c>
      <c r="J277" s="173"/>
      <c r="K277" s="174"/>
      <c r="L277" s="174"/>
      <c r="M277" s="154"/>
      <c r="N277" s="329"/>
      <c r="O277" s="323"/>
      <c r="P277" s="323"/>
      <c r="Q277" s="324"/>
      <c r="R277" s="188"/>
      <c r="S277" s="325"/>
      <c r="T277" s="325"/>
      <c r="U277"/>
      <c r="V277"/>
      <c r="W277"/>
      <c r="X277"/>
    </row>
    <row r="278" spans="1:24" s="155" customFormat="1" ht="15.75">
      <c r="A278" s="189" t="s">
        <v>181</v>
      </c>
      <c r="B278" s="200">
        <v>125</v>
      </c>
      <c r="C278" s="200">
        <v>186</v>
      </c>
      <c r="D278" s="200">
        <v>94</v>
      </c>
      <c r="E278" s="200">
        <v>227</v>
      </c>
      <c r="F278" s="200">
        <v>33</v>
      </c>
      <c r="G278" s="200">
        <v>198</v>
      </c>
      <c r="H278" s="200">
        <v>19</v>
      </c>
      <c r="I278" s="200">
        <v>922</v>
      </c>
      <c r="J278" s="173"/>
      <c r="K278" s="174"/>
      <c r="L278" s="174"/>
      <c r="M278" s="154"/>
      <c r="N278" s="190" t="s">
        <v>67</v>
      </c>
      <c r="O278" s="176">
        <f>SUM(B271,B272,B273,B278,B279)</f>
        <v>1150</v>
      </c>
      <c r="P278" s="176">
        <f>SUM(D271,F271,H271,D273,F273,H273,D278,F278,H278)*0.85</f>
        <v>1424.6</v>
      </c>
      <c r="Q278" s="176">
        <f>SUM(D272,F272,H272,D279,F279,H279)*0.8</f>
        <v>19.200000000000003</v>
      </c>
      <c r="R278" s="181"/>
      <c r="S278" s="191">
        <v>1832</v>
      </c>
      <c r="T278" s="192">
        <v>2845</v>
      </c>
      <c r="U278" s="193">
        <f>O278/S278*1-1</f>
        <v>-0.37227074235807855</v>
      </c>
      <c r="V278" s="193">
        <f>P278/T278*1-1</f>
        <v>-0.49926186291739894</v>
      </c>
      <c r="W278" s="194">
        <f>O278-S278</f>
        <v>-682</v>
      </c>
      <c r="X278" s="194">
        <f>P278-T278</f>
        <v>-1420.4</v>
      </c>
    </row>
    <row r="279" spans="1:24" s="155" customFormat="1" ht="15.75">
      <c r="A279" s="189" t="s">
        <v>182</v>
      </c>
      <c r="B279" s="200">
        <v>13</v>
      </c>
      <c r="C279" s="200">
        <v>37</v>
      </c>
      <c r="D279" s="200">
        <v>0</v>
      </c>
      <c r="E279" s="200">
        <v>81</v>
      </c>
      <c r="F279" s="200">
        <v>15</v>
      </c>
      <c r="G279" s="200">
        <v>97</v>
      </c>
      <c r="H279" s="200">
        <v>9</v>
      </c>
      <c r="I279" s="200">
        <v>428</v>
      </c>
      <c r="J279" s="173"/>
      <c r="K279" s="174"/>
      <c r="L279" s="174"/>
      <c r="M279" s="154"/>
      <c r="N279" s="190" t="s">
        <v>69</v>
      </c>
      <c r="O279" s="176">
        <f>SUM(C271,C272,C273,C278,C279)*0.8</f>
        <v>827.2</v>
      </c>
      <c r="P279" s="176">
        <f>SUM(E271,G271,I271,E272,E273,G273,I273,E278,G278,I278,E279)*0.8</f>
        <v>2385.6</v>
      </c>
      <c r="Q279" s="176">
        <f>SUM(G272,I272,G279,I279)*0.7</f>
        <v>454.29999999999995</v>
      </c>
      <c r="R279" s="181"/>
      <c r="S279" s="195">
        <v>1006</v>
      </c>
      <c r="T279" s="195">
        <v>3830</v>
      </c>
      <c r="U279" s="193">
        <f>O279/S279*1-1</f>
        <v>-0.17773359840954273</v>
      </c>
      <c r="V279" s="193">
        <f>P279/T279*1-1</f>
        <v>-0.3771279373368146</v>
      </c>
      <c r="W279" s="194">
        <f>O279-S279</f>
        <v>-178.79999999999995</v>
      </c>
      <c r="X279" s="194">
        <f>P279-T279</f>
        <v>-1444.4</v>
      </c>
    </row>
    <row r="280" spans="1:20" ht="15.75">
      <c r="A280" s="196"/>
      <c r="B280" s="196"/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7"/>
      <c r="N280" s="196"/>
      <c r="O280" s="196"/>
      <c r="P280" s="196"/>
      <c r="Q280" s="196"/>
      <c r="R280" s="196"/>
      <c r="S280" s="196"/>
      <c r="T280" s="196"/>
    </row>
    <row r="281" spans="1:20" ht="22.5" customHeight="1">
      <c r="A281" s="212"/>
      <c r="J281" s="213" t="s">
        <v>198</v>
      </c>
      <c r="K281" s="212"/>
      <c r="L281" s="212"/>
      <c r="M281" s="214"/>
      <c r="N281" s="212"/>
      <c r="O281" s="212"/>
      <c r="P281" s="212"/>
      <c r="Q281" s="212"/>
      <c r="R281" s="212"/>
      <c r="S281" s="319" t="s">
        <v>199</v>
      </c>
      <c r="T281" s="319"/>
    </row>
    <row r="282" spans="1:20" ht="15.75">
      <c r="A282" s="212"/>
      <c r="B282" s="212"/>
      <c r="C282" s="212"/>
      <c r="D282" s="212"/>
      <c r="E282" s="212"/>
      <c r="F282" s="212"/>
      <c r="G282" s="212"/>
      <c r="H282" s="212"/>
      <c r="I282" s="215"/>
      <c r="J282" s="216">
        <f>SUM(J3,J17,J31,J45,J59,J73,J87,J101,J115,J129,J143,J157,J171,J185,J199,J213,J227,J241,J255,J269,)</f>
        <v>15391</v>
      </c>
      <c r="K282" s="212"/>
      <c r="L282" s="212"/>
      <c r="M282" s="214"/>
      <c r="N282" s="212"/>
      <c r="O282" s="212"/>
      <c r="P282" s="212"/>
      <c r="Q282" s="212"/>
      <c r="R282" s="212"/>
      <c r="S282" s="216">
        <f>SUM(S5,S19,S33,S47,S61,S75,S89,S103,S117,S131,S145,S159,S173,S187,S201,S215,S229,S243,S257,S271)</f>
        <v>187803.61199999996</v>
      </c>
      <c r="T282" s="216">
        <f>SUM(T5,T19,T33,T47,T61,T75,T89,T103,T117,T131,T145,T159,T173,T187,T201,T215,T229,T243,T257,T271)</f>
        <v>208672</v>
      </c>
    </row>
    <row r="283" spans="10:20" ht="12.75" customHeight="1">
      <c r="J283" s="216">
        <f>SUM(Reb__Est__por_faixa_etária!D25)</f>
        <v>15391</v>
      </c>
      <c r="S283" s="320">
        <f>S282-T282</f>
        <v>-20868.388000000035</v>
      </c>
      <c r="T283" s="320"/>
    </row>
    <row r="284" spans="19:20" ht="15.75">
      <c r="S284" s="321">
        <f>SUM(S282/T282)-1</f>
        <v>-0.10000569314522334</v>
      </c>
      <c r="T284" s="321"/>
    </row>
    <row r="287" ht="12.75" customHeight="1"/>
    <row r="289" ht="12.75" customHeight="1"/>
    <row r="296" ht="12.75" customHeight="1"/>
    <row r="297" ht="12.75" customHeight="1"/>
    <row r="302" ht="12.75" customHeight="1"/>
  </sheetData>
  <sheetProtection sheet="1"/>
  <mergeCells count="519">
    <mergeCell ref="J1:J2"/>
    <mergeCell ref="K1:L1"/>
    <mergeCell ref="B2:C2"/>
    <mergeCell ref="D2:E2"/>
    <mergeCell ref="F2:G2"/>
    <mergeCell ref="H2:I2"/>
    <mergeCell ref="K2:L2"/>
    <mergeCell ref="N2:N4"/>
    <mergeCell ref="O2:Q2"/>
    <mergeCell ref="S2:T2"/>
    <mergeCell ref="O3:O4"/>
    <mergeCell ref="P3:P4"/>
    <mergeCell ref="Q3:Q4"/>
    <mergeCell ref="S3:T3"/>
    <mergeCell ref="B9:C9"/>
    <mergeCell ref="D9:E9"/>
    <mergeCell ref="F9:G9"/>
    <mergeCell ref="H9:I9"/>
    <mergeCell ref="N9:N11"/>
    <mergeCell ref="O9:Q9"/>
    <mergeCell ref="S9:T9"/>
    <mergeCell ref="O10:O11"/>
    <mergeCell ref="P10:P11"/>
    <mergeCell ref="Q10:Q11"/>
    <mergeCell ref="S10:S11"/>
    <mergeCell ref="T10:T11"/>
    <mergeCell ref="J15:J16"/>
    <mergeCell ref="K15:L15"/>
    <mergeCell ref="B16:C16"/>
    <mergeCell ref="D16:E16"/>
    <mergeCell ref="F16:G16"/>
    <mergeCell ref="H16:I16"/>
    <mergeCell ref="K16:L16"/>
    <mergeCell ref="N16:N18"/>
    <mergeCell ref="O16:Q16"/>
    <mergeCell ref="S16:T16"/>
    <mergeCell ref="O17:O18"/>
    <mergeCell ref="P17:P18"/>
    <mergeCell ref="Q17:Q18"/>
    <mergeCell ref="S17:T17"/>
    <mergeCell ref="B23:C23"/>
    <mergeCell ref="D23:E23"/>
    <mergeCell ref="F23:G23"/>
    <mergeCell ref="H23:I23"/>
    <mergeCell ref="N23:N25"/>
    <mergeCell ref="O23:Q23"/>
    <mergeCell ref="S23:T23"/>
    <mergeCell ref="O24:O25"/>
    <mergeCell ref="P24:P25"/>
    <mergeCell ref="Q24:Q25"/>
    <mergeCell ref="S24:S25"/>
    <mergeCell ref="T24:T25"/>
    <mergeCell ref="J29:J30"/>
    <mergeCell ref="K29:L29"/>
    <mergeCell ref="B30:C30"/>
    <mergeCell ref="D30:E30"/>
    <mergeCell ref="F30:G30"/>
    <mergeCell ref="H30:I30"/>
    <mergeCell ref="K30:L30"/>
    <mergeCell ref="N30:N32"/>
    <mergeCell ref="O30:Q30"/>
    <mergeCell ref="S30:T30"/>
    <mergeCell ref="O31:O32"/>
    <mergeCell ref="P31:P32"/>
    <mergeCell ref="Q31:Q32"/>
    <mergeCell ref="S31:T31"/>
    <mergeCell ref="B37:C37"/>
    <mergeCell ref="D37:E37"/>
    <mergeCell ref="F37:G37"/>
    <mergeCell ref="H37:I37"/>
    <mergeCell ref="N37:N39"/>
    <mergeCell ref="O37:Q37"/>
    <mergeCell ref="S37:T37"/>
    <mergeCell ref="O38:O39"/>
    <mergeCell ref="P38:P39"/>
    <mergeCell ref="Q38:Q39"/>
    <mergeCell ref="S38:S39"/>
    <mergeCell ref="T38:T39"/>
    <mergeCell ref="J43:J44"/>
    <mergeCell ref="K43:L43"/>
    <mergeCell ref="B44:C44"/>
    <mergeCell ref="D44:E44"/>
    <mergeCell ref="F44:G44"/>
    <mergeCell ref="H44:I44"/>
    <mergeCell ref="K44:L44"/>
    <mergeCell ref="N44:N46"/>
    <mergeCell ref="O44:Q44"/>
    <mergeCell ref="S44:T44"/>
    <mergeCell ref="O45:O46"/>
    <mergeCell ref="P45:P46"/>
    <mergeCell ref="Q45:Q46"/>
    <mergeCell ref="S45:T45"/>
    <mergeCell ref="B51:C51"/>
    <mergeCell ref="D51:E51"/>
    <mergeCell ref="F51:G51"/>
    <mergeCell ref="H51:I51"/>
    <mergeCell ref="N51:N53"/>
    <mergeCell ref="O51:Q51"/>
    <mergeCell ref="S51:T51"/>
    <mergeCell ref="O52:O53"/>
    <mergeCell ref="P52:P53"/>
    <mergeCell ref="Q52:Q53"/>
    <mergeCell ref="S52:S53"/>
    <mergeCell ref="T52:T53"/>
    <mergeCell ref="J57:J58"/>
    <mergeCell ref="K57:L57"/>
    <mergeCell ref="B58:C58"/>
    <mergeCell ref="D58:E58"/>
    <mergeCell ref="F58:G58"/>
    <mergeCell ref="H58:I58"/>
    <mergeCell ref="K58:L58"/>
    <mergeCell ref="N58:N60"/>
    <mergeCell ref="O58:Q58"/>
    <mergeCell ref="S58:T58"/>
    <mergeCell ref="O59:O60"/>
    <mergeCell ref="P59:P60"/>
    <mergeCell ref="Q59:Q60"/>
    <mergeCell ref="S59:T59"/>
    <mergeCell ref="B65:C65"/>
    <mergeCell ref="D65:E65"/>
    <mergeCell ref="F65:G65"/>
    <mergeCell ref="H65:I65"/>
    <mergeCell ref="N65:N67"/>
    <mergeCell ref="O65:Q65"/>
    <mergeCell ref="S65:T65"/>
    <mergeCell ref="O66:O67"/>
    <mergeCell ref="P66:P67"/>
    <mergeCell ref="Q66:Q67"/>
    <mergeCell ref="S66:S67"/>
    <mergeCell ref="T66:T67"/>
    <mergeCell ref="J71:J72"/>
    <mergeCell ref="K71:L71"/>
    <mergeCell ref="B72:C72"/>
    <mergeCell ref="D72:E72"/>
    <mergeCell ref="F72:G72"/>
    <mergeCell ref="H72:I72"/>
    <mergeCell ref="K72:L72"/>
    <mergeCell ref="N72:N74"/>
    <mergeCell ref="O72:Q72"/>
    <mergeCell ref="S72:T72"/>
    <mergeCell ref="O73:O74"/>
    <mergeCell ref="P73:P74"/>
    <mergeCell ref="Q73:Q74"/>
    <mergeCell ref="S73:T73"/>
    <mergeCell ref="B79:C79"/>
    <mergeCell ref="D79:E79"/>
    <mergeCell ref="F79:G79"/>
    <mergeCell ref="H79:I79"/>
    <mergeCell ref="N79:N81"/>
    <mergeCell ref="O79:Q79"/>
    <mergeCell ref="S79:T79"/>
    <mergeCell ref="O80:O81"/>
    <mergeCell ref="P80:P81"/>
    <mergeCell ref="Q80:Q81"/>
    <mergeCell ref="S80:S81"/>
    <mergeCell ref="T80:T81"/>
    <mergeCell ref="J85:J86"/>
    <mergeCell ref="K85:L85"/>
    <mergeCell ref="K86:L86"/>
    <mergeCell ref="N86:N88"/>
    <mergeCell ref="O86:Q86"/>
    <mergeCell ref="S86:T86"/>
    <mergeCell ref="O87:O88"/>
    <mergeCell ref="P87:P88"/>
    <mergeCell ref="Q87:Q88"/>
    <mergeCell ref="S87:T87"/>
    <mergeCell ref="B93:C93"/>
    <mergeCell ref="D93:E93"/>
    <mergeCell ref="F93:G93"/>
    <mergeCell ref="H93:I93"/>
    <mergeCell ref="N93:N95"/>
    <mergeCell ref="O93:Q93"/>
    <mergeCell ref="S93:T93"/>
    <mergeCell ref="O94:O95"/>
    <mergeCell ref="P94:P95"/>
    <mergeCell ref="Q94:Q95"/>
    <mergeCell ref="S94:S95"/>
    <mergeCell ref="T94:T95"/>
    <mergeCell ref="J99:J100"/>
    <mergeCell ref="K99:L99"/>
    <mergeCell ref="B100:C100"/>
    <mergeCell ref="D100:E100"/>
    <mergeCell ref="F100:G100"/>
    <mergeCell ref="H100:I100"/>
    <mergeCell ref="K100:L100"/>
    <mergeCell ref="N100:N102"/>
    <mergeCell ref="O100:Q100"/>
    <mergeCell ref="S100:T100"/>
    <mergeCell ref="O101:O102"/>
    <mergeCell ref="P101:P102"/>
    <mergeCell ref="Q101:Q102"/>
    <mergeCell ref="S101:T101"/>
    <mergeCell ref="B107:C107"/>
    <mergeCell ref="D107:E107"/>
    <mergeCell ref="F107:G107"/>
    <mergeCell ref="H107:I107"/>
    <mergeCell ref="N107:N109"/>
    <mergeCell ref="O107:Q107"/>
    <mergeCell ref="S107:T107"/>
    <mergeCell ref="O108:O109"/>
    <mergeCell ref="P108:P109"/>
    <mergeCell ref="Q108:Q109"/>
    <mergeCell ref="S108:S109"/>
    <mergeCell ref="T108:T109"/>
    <mergeCell ref="J113:J114"/>
    <mergeCell ref="K113:L113"/>
    <mergeCell ref="B114:C114"/>
    <mergeCell ref="D114:E114"/>
    <mergeCell ref="F114:G114"/>
    <mergeCell ref="H114:I114"/>
    <mergeCell ref="K114:L114"/>
    <mergeCell ref="N114:N116"/>
    <mergeCell ref="O114:Q114"/>
    <mergeCell ref="S114:T114"/>
    <mergeCell ref="O115:O116"/>
    <mergeCell ref="P115:P116"/>
    <mergeCell ref="Q115:Q116"/>
    <mergeCell ref="S115:T115"/>
    <mergeCell ref="B121:C121"/>
    <mergeCell ref="D121:E121"/>
    <mergeCell ref="F121:G121"/>
    <mergeCell ref="H121:I121"/>
    <mergeCell ref="N121:N123"/>
    <mergeCell ref="O121:Q121"/>
    <mergeCell ref="S121:T121"/>
    <mergeCell ref="O122:O123"/>
    <mergeCell ref="P122:P123"/>
    <mergeCell ref="Q122:Q123"/>
    <mergeCell ref="S122:S123"/>
    <mergeCell ref="T122:T123"/>
    <mergeCell ref="J127:J128"/>
    <mergeCell ref="K127:L127"/>
    <mergeCell ref="B128:C128"/>
    <mergeCell ref="D128:E128"/>
    <mergeCell ref="F128:G128"/>
    <mergeCell ref="H128:I128"/>
    <mergeCell ref="K128:L128"/>
    <mergeCell ref="N128:N130"/>
    <mergeCell ref="O128:Q128"/>
    <mergeCell ref="S128:T128"/>
    <mergeCell ref="O129:O130"/>
    <mergeCell ref="P129:P130"/>
    <mergeCell ref="Q129:Q130"/>
    <mergeCell ref="S129:T129"/>
    <mergeCell ref="B135:C135"/>
    <mergeCell ref="D135:E135"/>
    <mergeCell ref="F135:G135"/>
    <mergeCell ref="H135:I135"/>
    <mergeCell ref="N135:N137"/>
    <mergeCell ref="O135:Q135"/>
    <mergeCell ref="S135:T135"/>
    <mergeCell ref="O136:O137"/>
    <mergeCell ref="P136:P137"/>
    <mergeCell ref="Q136:Q137"/>
    <mergeCell ref="S136:S137"/>
    <mergeCell ref="T136:T137"/>
    <mergeCell ref="J141:J142"/>
    <mergeCell ref="K141:L141"/>
    <mergeCell ref="B142:C142"/>
    <mergeCell ref="D142:E142"/>
    <mergeCell ref="F142:G142"/>
    <mergeCell ref="H142:I142"/>
    <mergeCell ref="K142:L142"/>
    <mergeCell ref="N142:N144"/>
    <mergeCell ref="O142:Q142"/>
    <mergeCell ref="S142:T142"/>
    <mergeCell ref="O143:O144"/>
    <mergeCell ref="P143:P144"/>
    <mergeCell ref="Q143:Q144"/>
    <mergeCell ref="S143:T143"/>
    <mergeCell ref="B149:C149"/>
    <mergeCell ref="D149:E149"/>
    <mergeCell ref="F149:G149"/>
    <mergeCell ref="H149:I149"/>
    <mergeCell ref="N149:N151"/>
    <mergeCell ref="O149:Q149"/>
    <mergeCell ref="S149:T149"/>
    <mergeCell ref="O150:O151"/>
    <mergeCell ref="P150:P151"/>
    <mergeCell ref="Q150:Q151"/>
    <mergeCell ref="S150:S151"/>
    <mergeCell ref="T150:T151"/>
    <mergeCell ref="J155:J156"/>
    <mergeCell ref="K155:L155"/>
    <mergeCell ref="B156:C156"/>
    <mergeCell ref="D156:E156"/>
    <mergeCell ref="F156:G156"/>
    <mergeCell ref="H156:I156"/>
    <mergeCell ref="K156:L156"/>
    <mergeCell ref="N156:N158"/>
    <mergeCell ref="O156:Q156"/>
    <mergeCell ref="S156:T156"/>
    <mergeCell ref="O157:O158"/>
    <mergeCell ref="P157:P158"/>
    <mergeCell ref="Q157:Q158"/>
    <mergeCell ref="S157:T157"/>
    <mergeCell ref="B163:C163"/>
    <mergeCell ref="D163:E163"/>
    <mergeCell ref="F163:G163"/>
    <mergeCell ref="H163:I163"/>
    <mergeCell ref="N163:N165"/>
    <mergeCell ref="O163:Q163"/>
    <mergeCell ref="S163:T163"/>
    <mergeCell ref="O164:O165"/>
    <mergeCell ref="P164:P165"/>
    <mergeCell ref="Q164:Q165"/>
    <mergeCell ref="S164:S165"/>
    <mergeCell ref="T164:T165"/>
    <mergeCell ref="J169:J170"/>
    <mergeCell ref="K169:L169"/>
    <mergeCell ref="B170:C170"/>
    <mergeCell ref="D170:E170"/>
    <mergeCell ref="F170:G170"/>
    <mergeCell ref="H170:I170"/>
    <mergeCell ref="K170:L170"/>
    <mergeCell ref="N170:N172"/>
    <mergeCell ref="O170:Q170"/>
    <mergeCell ref="S170:T170"/>
    <mergeCell ref="O171:O172"/>
    <mergeCell ref="P171:P172"/>
    <mergeCell ref="Q171:Q172"/>
    <mergeCell ref="S171:T171"/>
    <mergeCell ref="B177:C177"/>
    <mergeCell ref="D177:E177"/>
    <mergeCell ref="F177:G177"/>
    <mergeCell ref="H177:I177"/>
    <mergeCell ref="N177:N179"/>
    <mergeCell ref="O177:Q177"/>
    <mergeCell ref="S177:T177"/>
    <mergeCell ref="O178:O179"/>
    <mergeCell ref="P178:P179"/>
    <mergeCell ref="Q178:Q179"/>
    <mergeCell ref="S178:S179"/>
    <mergeCell ref="T178:T179"/>
    <mergeCell ref="J183:J184"/>
    <mergeCell ref="K183:L183"/>
    <mergeCell ref="B184:C184"/>
    <mergeCell ref="D184:E184"/>
    <mergeCell ref="F184:G184"/>
    <mergeCell ref="H184:I184"/>
    <mergeCell ref="K184:L184"/>
    <mergeCell ref="N184:N186"/>
    <mergeCell ref="O184:Q184"/>
    <mergeCell ref="S184:T184"/>
    <mergeCell ref="O185:O186"/>
    <mergeCell ref="P185:P186"/>
    <mergeCell ref="Q185:Q186"/>
    <mergeCell ref="S185:T185"/>
    <mergeCell ref="B191:C191"/>
    <mergeCell ref="D191:E191"/>
    <mergeCell ref="F191:G191"/>
    <mergeCell ref="H191:I191"/>
    <mergeCell ref="N191:N193"/>
    <mergeCell ref="O191:Q191"/>
    <mergeCell ref="S191:T191"/>
    <mergeCell ref="O192:O193"/>
    <mergeCell ref="P192:P193"/>
    <mergeCell ref="Q192:Q193"/>
    <mergeCell ref="S192:S193"/>
    <mergeCell ref="T192:T193"/>
    <mergeCell ref="J197:J198"/>
    <mergeCell ref="K197:L197"/>
    <mergeCell ref="B198:C198"/>
    <mergeCell ref="D198:E198"/>
    <mergeCell ref="F198:G198"/>
    <mergeCell ref="H198:I198"/>
    <mergeCell ref="K198:L198"/>
    <mergeCell ref="N198:N200"/>
    <mergeCell ref="O198:Q198"/>
    <mergeCell ref="S198:T198"/>
    <mergeCell ref="O199:O200"/>
    <mergeCell ref="P199:P200"/>
    <mergeCell ref="Q199:Q200"/>
    <mergeCell ref="S199:T199"/>
    <mergeCell ref="B205:C205"/>
    <mergeCell ref="D205:E205"/>
    <mergeCell ref="F205:G205"/>
    <mergeCell ref="H205:I205"/>
    <mergeCell ref="N205:N207"/>
    <mergeCell ref="O205:Q205"/>
    <mergeCell ref="S205:T205"/>
    <mergeCell ref="O206:O207"/>
    <mergeCell ref="P206:P207"/>
    <mergeCell ref="Q206:Q207"/>
    <mergeCell ref="S206:S207"/>
    <mergeCell ref="T206:T207"/>
    <mergeCell ref="J211:J212"/>
    <mergeCell ref="K211:L211"/>
    <mergeCell ref="B212:C212"/>
    <mergeCell ref="D212:E212"/>
    <mergeCell ref="F212:G212"/>
    <mergeCell ref="H212:I212"/>
    <mergeCell ref="K212:L212"/>
    <mergeCell ref="N212:N214"/>
    <mergeCell ref="O212:Q212"/>
    <mergeCell ref="S212:T212"/>
    <mergeCell ref="O213:O214"/>
    <mergeCell ref="P213:P214"/>
    <mergeCell ref="Q213:Q214"/>
    <mergeCell ref="S213:T213"/>
    <mergeCell ref="B219:C219"/>
    <mergeCell ref="D219:E219"/>
    <mergeCell ref="F219:G219"/>
    <mergeCell ref="H219:I219"/>
    <mergeCell ref="N219:N221"/>
    <mergeCell ref="O219:Q219"/>
    <mergeCell ref="S219:T219"/>
    <mergeCell ref="O220:O221"/>
    <mergeCell ref="P220:P221"/>
    <mergeCell ref="Q220:Q221"/>
    <mergeCell ref="S220:S221"/>
    <mergeCell ref="T220:T221"/>
    <mergeCell ref="J225:J226"/>
    <mergeCell ref="K225:L225"/>
    <mergeCell ref="B226:C226"/>
    <mergeCell ref="D226:E226"/>
    <mergeCell ref="F226:G226"/>
    <mergeCell ref="H226:I226"/>
    <mergeCell ref="K226:L226"/>
    <mergeCell ref="N226:N228"/>
    <mergeCell ref="O226:Q226"/>
    <mergeCell ref="S226:T226"/>
    <mergeCell ref="O227:O228"/>
    <mergeCell ref="P227:P228"/>
    <mergeCell ref="Q227:Q228"/>
    <mergeCell ref="S227:T227"/>
    <mergeCell ref="B233:C233"/>
    <mergeCell ref="D233:E233"/>
    <mergeCell ref="F233:G233"/>
    <mergeCell ref="H233:I233"/>
    <mergeCell ref="N233:N235"/>
    <mergeCell ref="O233:Q233"/>
    <mergeCell ref="S233:T233"/>
    <mergeCell ref="O234:O235"/>
    <mergeCell ref="P234:P235"/>
    <mergeCell ref="Q234:Q235"/>
    <mergeCell ref="S234:S235"/>
    <mergeCell ref="T234:T235"/>
    <mergeCell ref="J239:J240"/>
    <mergeCell ref="K239:L239"/>
    <mergeCell ref="B240:C240"/>
    <mergeCell ref="D240:E240"/>
    <mergeCell ref="F240:G240"/>
    <mergeCell ref="H240:I240"/>
    <mergeCell ref="K240:L240"/>
    <mergeCell ref="N240:N242"/>
    <mergeCell ref="O240:Q240"/>
    <mergeCell ref="S240:T240"/>
    <mergeCell ref="O241:O242"/>
    <mergeCell ref="P241:P242"/>
    <mergeCell ref="Q241:Q242"/>
    <mergeCell ref="S241:T241"/>
    <mergeCell ref="B247:C247"/>
    <mergeCell ref="D247:E247"/>
    <mergeCell ref="F247:G247"/>
    <mergeCell ref="H247:I247"/>
    <mergeCell ref="N247:N249"/>
    <mergeCell ref="O247:Q247"/>
    <mergeCell ref="S247:T247"/>
    <mergeCell ref="O248:O249"/>
    <mergeCell ref="P248:P249"/>
    <mergeCell ref="Q248:Q249"/>
    <mergeCell ref="S248:S249"/>
    <mergeCell ref="T248:T249"/>
    <mergeCell ref="J253:J254"/>
    <mergeCell ref="K253:L253"/>
    <mergeCell ref="B254:C254"/>
    <mergeCell ref="D254:E254"/>
    <mergeCell ref="F254:G254"/>
    <mergeCell ref="H254:I254"/>
    <mergeCell ref="K254:L254"/>
    <mergeCell ref="N254:N256"/>
    <mergeCell ref="O254:Q254"/>
    <mergeCell ref="S254:T254"/>
    <mergeCell ref="O255:O256"/>
    <mergeCell ref="P255:P256"/>
    <mergeCell ref="Q255:Q256"/>
    <mergeCell ref="S255:T255"/>
    <mergeCell ref="B261:C261"/>
    <mergeCell ref="D261:E261"/>
    <mergeCell ref="F261:G261"/>
    <mergeCell ref="H261:I261"/>
    <mergeCell ref="N261:N263"/>
    <mergeCell ref="O261:Q261"/>
    <mergeCell ref="S261:T261"/>
    <mergeCell ref="O262:O263"/>
    <mergeCell ref="P262:P263"/>
    <mergeCell ref="Q262:Q263"/>
    <mergeCell ref="S262:S263"/>
    <mergeCell ref="T262:T263"/>
    <mergeCell ref="J267:J268"/>
    <mergeCell ref="K267:L267"/>
    <mergeCell ref="B268:C268"/>
    <mergeCell ref="D268:E268"/>
    <mergeCell ref="F268:G268"/>
    <mergeCell ref="H268:I268"/>
    <mergeCell ref="K268:L268"/>
    <mergeCell ref="N268:N270"/>
    <mergeCell ref="O268:Q268"/>
    <mergeCell ref="S268:T268"/>
    <mergeCell ref="O269:O270"/>
    <mergeCell ref="P269:P270"/>
    <mergeCell ref="Q269:Q270"/>
    <mergeCell ref="S269:T269"/>
    <mergeCell ref="B275:C275"/>
    <mergeCell ref="D275:E275"/>
    <mergeCell ref="F275:G275"/>
    <mergeCell ref="H275:I275"/>
    <mergeCell ref="N275:N277"/>
    <mergeCell ref="O275:Q275"/>
    <mergeCell ref="S281:T281"/>
    <mergeCell ref="S283:T283"/>
    <mergeCell ref="S284:T284"/>
    <mergeCell ref="S275:T275"/>
    <mergeCell ref="O276:O277"/>
    <mergeCell ref="P276:P277"/>
    <mergeCell ref="Q276:Q277"/>
    <mergeCell ref="S276:S277"/>
    <mergeCell ref="T276:T277"/>
  </mergeCells>
  <printOptions horizontalCentered="1"/>
  <pageMargins left="0.39375" right="0.39375" top="0" bottom="0" header="0.5118055555555555" footer="0.5118055555555555"/>
  <pageSetup horizontalDpi="300" verticalDpi="300" orientation="landscape" pageOrder="overThenDown" paperSiz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PageLayoutView="0" workbookViewId="0" topLeftCell="A1">
      <selection activeCell="I3" sqref="I3"/>
    </sheetView>
  </sheetViews>
  <sheetFormatPr defaultColWidth="12.1484375" defaultRowHeight="23.25"/>
  <cols>
    <col min="1" max="1" width="18.30859375" style="0" customWidth="1"/>
    <col min="2" max="2" width="8.1484375" style="0" customWidth="1"/>
    <col min="3" max="3" width="7.83984375" style="217" customWidth="1"/>
    <col min="4" max="4" width="10.30859375" style="217" customWidth="1"/>
    <col min="5" max="6" width="12.1484375" style="0" hidden="1" customWidth="1"/>
    <col min="7" max="13" width="7.83984375" style="0" customWidth="1"/>
    <col min="14" max="14" width="8.1484375" style="0" customWidth="1"/>
    <col min="15" max="18" width="9.30859375" style="0" customWidth="1"/>
  </cols>
  <sheetData>
    <row r="1" spans="1:4" ht="15.75">
      <c r="A1" s="218" t="s">
        <v>200</v>
      </c>
      <c r="B1" s="218"/>
      <c r="C1" s="219"/>
      <c r="D1" s="220"/>
    </row>
    <row r="3" spans="1:18" ht="21" customHeight="1">
      <c r="A3" s="343" t="s">
        <v>130</v>
      </c>
      <c r="B3" s="340" t="s">
        <v>201</v>
      </c>
      <c r="C3" s="340"/>
      <c r="D3" s="340"/>
      <c r="E3" s="335" t="s">
        <v>202</v>
      </c>
      <c r="F3" s="335"/>
      <c r="G3" s="335" t="s">
        <v>203</v>
      </c>
      <c r="H3" s="335"/>
      <c r="I3" s="335" t="s">
        <v>204</v>
      </c>
      <c r="J3" s="335"/>
      <c r="K3" s="335" t="s">
        <v>205</v>
      </c>
      <c r="L3" s="335"/>
      <c r="M3" s="335" t="s">
        <v>172</v>
      </c>
      <c r="N3" s="335"/>
      <c r="O3" s="336" t="s">
        <v>206</v>
      </c>
      <c r="P3" s="336"/>
      <c r="Q3" s="336" t="s">
        <v>207</v>
      </c>
      <c r="R3" s="336"/>
    </row>
    <row r="4" spans="1:18" ht="12">
      <c r="A4" s="343"/>
      <c r="B4" s="222" t="s">
        <v>208</v>
      </c>
      <c r="C4" s="223">
        <v>2019</v>
      </c>
      <c r="D4" s="224">
        <v>2020</v>
      </c>
      <c r="E4" s="221" t="s">
        <v>175</v>
      </c>
      <c r="F4" s="222" t="s">
        <v>176</v>
      </c>
      <c r="G4" s="221" t="s">
        <v>175</v>
      </c>
      <c r="H4" s="222" t="s">
        <v>176</v>
      </c>
      <c r="I4" s="221" t="s">
        <v>175</v>
      </c>
      <c r="J4" s="222" t="s">
        <v>176</v>
      </c>
      <c r="K4" s="221" t="s">
        <v>175</v>
      </c>
      <c r="L4" s="222" t="s">
        <v>176</v>
      </c>
      <c r="M4" s="221" t="s">
        <v>175</v>
      </c>
      <c r="N4" s="222" t="s">
        <v>176</v>
      </c>
      <c r="O4" s="225">
        <v>2020</v>
      </c>
      <c r="P4" s="221">
        <v>2019</v>
      </c>
      <c r="Q4" s="225">
        <v>2020</v>
      </c>
      <c r="R4" s="221">
        <v>2019</v>
      </c>
    </row>
    <row r="5" spans="1:18" ht="12.75">
      <c r="A5" s="226" t="s">
        <v>209</v>
      </c>
      <c r="B5" s="227">
        <v>1185</v>
      </c>
      <c r="C5" s="228">
        <v>734</v>
      </c>
      <c r="D5" s="229">
        <v>997</v>
      </c>
      <c r="E5" s="230"/>
      <c r="F5" s="230"/>
      <c r="G5" s="231">
        <v>5078</v>
      </c>
      <c r="H5" s="231">
        <v>3941</v>
      </c>
      <c r="I5" s="231">
        <v>3067</v>
      </c>
      <c r="J5" s="231">
        <v>2878</v>
      </c>
      <c r="K5" s="231">
        <v>1349</v>
      </c>
      <c r="L5" s="232">
        <v>2977</v>
      </c>
      <c r="M5" s="231">
        <v>567</v>
      </c>
      <c r="N5" s="232">
        <v>10833</v>
      </c>
      <c r="O5" s="233">
        <v>30690</v>
      </c>
      <c r="P5" s="231">
        <v>33960</v>
      </c>
      <c r="Q5" s="233">
        <f aca="true" t="shared" si="0" ref="Q5:Q24">SUM(L5,N5)</f>
        <v>13810</v>
      </c>
      <c r="R5" s="231">
        <v>15637</v>
      </c>
    </row>
    <row r="6" spans="1:18" ht="12.75">
      <c r="A6" s="234" t="s">
        <v>146</v>
      </c>
      <c r="B6" s="235">
        <v>794</v>
      </c>
      <c r="C6" s="228">
        <v>338</v>
      </c>
      <c r="D6" s="229">
        <v>519</v>
      </c>
      <c r="E6" s="230"/>
      <c r="F6" s="230"/>
      <c r="G6" s="231">
        <v>1354</v>
      </c>
      <c r="H6" s="231">
        <v>1581</v>
      </c>
      <c r="I6" s="231">
        <v>546</v>
      </c>
      <c r="J6" s="231">
        <v>1105</v>
      </c>
      <c r="K6" s="231">
        <v>434</v>
      </c>
      <c r="L6" s="232">
        <v>1144</v>
      </c>
      <c r="M6" s="231">
        <v>700</v>
      </c>
      <c r="N6" s="232">
        <v>6631</v>
      </c>
      <c r="O6" s="233">
        <v>13495</v>
      </c>
      <c r="P6" s="231">
        <v>15439</v>
      </c>
      <c r="Q6" s="233">
        <f t="shared" si="0"/>
        <v>7775</v>
      </c>
      <c r="R6" s="231">
        <v>7990</v>
      </c>
    </row>
    <row r="7" spans="1:18" ht="24">
      <c r="A7" s="226" t="s">
        <v>147</v>
      </c>
      <c r="B7" s="227">
        <v>838</v>
      </c>
      <c r="C7" s="228">
        <v>367</v>
      </c>
      <c r="D7" s="229">
        <v>487</v>
      </c>
      <c r="E7" s="230"/>
      <c r="F7" s="230"/>
      <c r="G7" s="231">
        <v>1407</v>
      </c>
      <c r="H7" s="231">
        <v>1569</v>
      </c>
      <c r="I7" s="231">
        <v>550</v>
      </c>
      <c r="J7" s="231">
        <v>1089</v>
      </c>
      <c r="K7" s="231">
        <v>212</v>
      </c>
      <c r="L7" s="232">
        <v>1139</v>
      </c>
      <c r="M7" s="231">
        <v>284</v>
      </c>
      <c r="N7" s="232">
        <v>5424</v>
      </c>
      <c r="O7" s="233">
        <v>11674</v>
      </c>
      <c r="P7" s="231">
        <v>13171</v>
      </c>
      <c r="Q7" s="233">
        <f t="shared" si="0"/>
        <v>6563</v>
      </c>
      <c r="R7" s="231">
        <v>7361</v>
      </c>
    </row>
    <row r="8" spans="1:18" ht="12.75">
      <c r="A8" s="234" t="s">
        <v>148</v>
      </c>
      <c r="B8" s="235">
        <v>832</v>
      </c>
      <c r="C8" s="228">
        <v>393</v>
      </c>
      <c r="D8" s="229">
        <v>601</v>
      </c>
      <c r="E8" s="230"/>
      <c r="F8" s="230"/>
      <c r="G8" s="231">
        <v>1918</v>
      </c>
      <c r="H8" s="231">
        <v>2363</v>
      </c>
      <c r="I8" s="231">
        <v>861</v>
      </c>
      <c r="J8" s="231">
        <v>1999</v>
      </c>
      <c r="K8" s="231">
        <v>349</v>
      </c>
      <c r="L8" s="232">
        <v>1486</v>
      </c>
      <c r="M8" s="231">
        <v>704</v>
      </c>
      <c r="N8" s="232">
        <v>7734</v>
      </c>
      <c r="O8" s="233">
        <v>17414</v>
      </c>
      <c r="P8" s="231">
        <v>18119</v>
      </c>
      <c r="Q8" s="233">
        <f t="shared" si="0"/>
        <v>9220</v>
      </c>
      <c r="R8" s="231">
        <v>9938</v>
      </c>
    </row>
    <row r="9" spans="1:18" ht="12.75">
      <c r="A9" s="226" t="s">
        <v>149</v>
      </c>
      <c r="B9" s="227">
        <v>1917</v>
      </c>
      <c r="C9" s="228">
        <v>1152</v>
      </c>
      <c r="D9" s="229">
        <v>1399</v>
      </c>
      <c r="E9" s="230"/>
      <c r="F9" s="230"/>
      <c r="G9" s="231">
        <v>2417</v>
      </c>
      <c r="H9" s="231">
        <v>3047</v>
      </c>
      <c r="I9" s="231">
        <v>1722</v>
      </c>
      <c r="J9" s="231">
        <v>2650</v>
      </c>
      <c r="K9" s="231">
        <v>749</v>
      </c>
      <c r="L9" s="232">
        <v>2458</v>
      </c>
      <c r="M9" s="231">
        <v>702</v>
      </c>
      <c r="N9" s="232">
        <v>10901</v>
      </c>
      <c r="O9" s="233">
        <v>24646</v>
      </c>
      <c r="P9" s="231">
        <v>28114</v>
      </c>
      <c r="Q9" s="233">
        <f t="shared" si="0"/>
        <v>13359</v>
      </c>
      <c r="R9" s="231">
        <v>14662</v>
      </c>
    </row>
    <row r="10" spans="1:18" ht="12.75">
      <c r="A10" s="234" t="s">
        <v>150</v>
      </c>
      <c r="B10" s="235">
        <v>910</v>
      </c>
      <c r="C10" s="228">
        <v>538</v>
      </c>
      <c r="D10" s="229">
        <v>706</v>
      </c>
      <c r="E10" s="230"/>
      <c r="F10" s="230"/>
      <c r="G10" s="231">
        <v>1614</v>
      </c>
      <c r="H10" s="231">
        <v>3231</v>
      </c>
      <c r="I10" s="231">
        <v>720</v>
      </c>
      <c r="J10" s="231">
        <v>2756</v>
      </c>
      <c r="K10" s="231">
        <v>397</v>
      </c>
      <c r="L10" s="232">
        <v>2477</v>
      </c>
      <c r="M10" s="231">
        <v>751</v>
      </c>
      <c r="N10" s="232">
        <v>9382</v>
      </c>
      <c r="O10" s="233">
        <v>21328</v>
      </c>
      <c r="P10" s="231">
        <v>24240</v>
      </c>
      <c r="Q10" s="233">
        <f t="shared" si="0"/>
        <v>11859</v>
      </c>
      <c r="R10" s="231">
        <v>12595</v>
      </c>
    </row>
    <row r="11" spans="1:20" ht="24">
      <c r="A11" s="226" t="s">
        <v>151</v>
      </c>
      <c r="B11" s="227">
        <v>661</v>
      </c>
      <c r="C11" s="228">
        <v>405</v>
      </c>
      <c r="D11" s="229">
        <v>579</v>
      </c>
      <c r="E11" s="230"/>
      <c r="F11" s="230"/>
      <c r="G11" s="231">
        <v>1507</v>
      </c>
      <c r="H11" s="231">
        <v>1946</v>
      </c>
      <c r="I11" s="231">
        <v>585</v>
      </c>
      <c r="J11" s="231">
        <v>1620</v>
      </c>
      <c r="K11" s="231">
        <v>330</v>
      </c>
      <c r="L11" s="232">
        <v>1146</v>
      </c>
      <c r="M11" s="231">
        <v>500</v>
      </c>
      <c r="N11" s="232">
        <v>6756</v>
      </c>
      <c r="O11" s="233">
        <v>14390</v>
      </c>
      <c r="P11" s="231">
        <v>15148</v>
      </c>
      <c r="Q11" s="233">
        <f t="shared" si="0"/>
        <v>7902</v>
      </c>
      <c r="R11" s="231">
        <v>8481</v>
      </c>
      <c r="T11" s="236"/>
    </row>
    <row r="12" spans="1:18" ht="12.75">
      <c r="A12" s="234" t="s">
        <v>152</v>
      </c>
      <c r="B12" s="235">
        <v>2621</v>
      </c>
      <c r="C12" s="228">
        <v>1371</v>
      </c>
      <c r="D12" s="229">
        <v>1848</v>
      </c>
      <c r="E12" s="230"/>
      <c r="F12" s="230"/>
      <c r="G12" s="231">
        <v>3967</v>
      </c>
      <c r="H12" s="231">
        <v>6240</v>
      </c>
      <c r="I12" s="231">
        <v>1704</v>
      </c>
      <c r="J12" s="231">
        <v>5459</v>
      </c>
      <c r="K12" s="231">
        <v>914</v>
      </c>
      <c r="L12" s="232">
        <v>4708</v>
      </c>
      <c r="M12" s="231">
        <v>917</v>
      </c>
      <c r="N12" s="232">
        <v>19581</v>
      </c>
      <c r="O12" s="233">
        <v>43490</v>
      </c>
      <c r="P12" s="231">
        <v>46928</v>
      </c>
      <c r="Q12" s="233">
        <f t="shared" si="0"/>
        <v>24289</v>
      </c>
      <c r="R12" s="231">
        <v>25919</v>
      </c>
    </row>
    <row r="13" spans="1:18" ht="12.75">
      <c r="A13" s="226" t="s">
        <v>153</v>
      </c>
      <c r="B13" s="227">
        <v>562</v>
      </c>
      <c r="C13" s="228">
        <v>385</v>
      </c>
      <c r="D13" s="229">
        <v>522</v>
      </c>
      <c r="E13" s="230"/>
      <c r="F13" s="230"/>
      <c r="G13" s="231">
        <v>2407</v>
      </c>
      <c r="H13" s="231">
        <v>2932</v>
      </c>
      <c r="I13" s="231">
        <v>647</v>
      </c>
      <c r="J13" s="231">
        <v>2084</v>
      </c>
      <c r="K13" s="231">
        <v>435</v>
      </c>
      <c r="L13" s="232">
        <v>2351</v>
      </c>
      <c r="M13" s="231">
        <v>597</v>
      </c>
      <c r="N13" s="232">
        <v>10612</v>
      </c>
      <c r="O13" s="233">
        <v>22065</v>
      </c>
      <c r="P13" s="231">
        <v>23358</v>
      </c>
      <c r="Q13" s="233">
        <f t="shared" si="0"/>
        <v>12963</v>
      </c>
      <c r="R13" s="231">
        <v>12081</v>
      </c>
    </row>
    <row r="14" spans="1:18" ht="12.75">
      <c r="A14" s="234" t="s">
        <v>154</v>
      </c>
      <c r="B14" s="235">
        <v>1149</v>
      </c>
      <c r="C14" s="228">
        <v>546</v>
      </c>
      <c r="D14" s="229">
        <v>939</v>
      </c>
      <c r="E14" s="230"/>
      <c r="F14" s="230"/>
      <c r="G14" s="231">
        <v>1320</v>
      </c>
      <c r="H14" s="231">
        <v>2412</v>
      </c>
      <c r="I14" s="231">
        <v>708</v>
      </c>
      <c r="J14" s="231">
        <v>2121</v>
      </c>
      <c r="K14" s="231">
        <v>423</v>
      </c>
      <c r="L14" s="232">
        <v>2020</v>
      </c>
      <c r="M14" s="231">
        <v>479</v>
      </c>
      <c r="N14" s="232">
        <v>9250</v>
      </c>
      <c r="O14" s="233">
        <v>18733</v>
      </c>
      <c r="P14" s="231">
        <v>21367</v>
      </c>
      <c r="Q14" s="233">
        <f t="shared" si="0"/>
        <v>11270</v>
      </c>
      <c r="R14" s="231">
        <v>12535</v>
      </c>
    </row>
    <row r="15" spans="1:18" ht="12.75">
      <c r="A15" s="226" t="s">
        <v>210</v>
      </c>
      <c r="B15" s="227">
        <v>1079</v>
      </c>
      <c r="C15" s="228">
        <v>448</v>
      </c>
      <c r="D15" s="229">
        <v>625</v>
      </c>
      <c r="E15" s="230"/>
      <c r="F15" s="230"/>
      <c r="G15" s="231">
        <v>1124</v>
      </c>
      <c r="H15" s="231">
        <v>1271</v>
      </c>
      <c r="I15" s="231">
        <v>377</v>
      </c>
      <c r="J15" s="231">
        <v>1018</v>
      </c>
      <c r="K15" s="231">
        <v>171</v>
      </c>
      <c r="L15" s="232">
        <v>918</v>
      </c>
      <c r="M15" s="231">
        <v>227</v>
      </c>
      <c r="N15" s="232">
        <v>4226</v>
      </c>
      <c r="O15" s="233">
        <v>9332</v>
      </c>
      <c r="P15" s="231">
        <v>10323</v>
      </c>
      <c r="Q15" s="233">
        <f t="shared" si="0"/>
        <v>5144</v>
      </c>
      <c r="R15" s="231">
        <v>5765</v>
      </c>
    </row>
    <row r="16" spans="1:18" ht="24">
      <c r="A16" s="234" t="s">
        <v>156</v>
      </c>
      <c r="B16" s="235">
        <v>405</v>
      </c>
      <c r="C16" s="228">
        <v>246</v>
      </c>
      <c r="D16" s="229">
        <v>346</v>
      </c>
      <c r="E16" s="230"/>
      <c r="F16" s="230"/>
      <c r="G16" s="231">
        <v>1627</v>
      </c>
      <c r="H16" s="231">
        <v>2252</v>
      </c>
      <c r="I16" s="231">
        <v>426</v>
      </c>
      <c r="J16" s="231">
        <v>1407</v>
      </c>
      <c r="K16" s="231">
        <v>185</v>
      </c>
      <c r="L16" s="232">
        <v>767</v>
      </c>
      <c r="M16" s="231">
        <v>288</v>
      </c>
      <c r="N16" s="232">
        <v>4920</v>
      </c>
      <c r="O16" s="233">
        <v>11872</v>
      </c>
      <c r="P16" s="231">
        <v>12896</v>
      </c>
      <c r="Q16" s="233">
        <f t="shared" si="0"/>
        <v>5687</v>
      </c>
      <c r="R16" s="231">
        <v>6475</v>
      </c>
    </row>
    <row r="17" spans="1:18" ht="12.75">
      <c r="A17" s="226" t="s">
        <v>157</v>
      </c>
      <c r="B17" s="227">
        <v>1852</v>
      </c>
      <c r="C17" s="228">
        <v>981</v>
      </c>
      <c r="D17" s="229">
        <v>1313</v>
      </c>
      <c r="E17" s="230"/>
      <c r="F17" s="230"/>
      <c r="G17" s="231">
        <v>3031</v>
      </c>
      <c r="H17" s="231">
        <v>3336</v>
      </c>
      <c r="I17" s="231">
        <v>1259</v>
      </c>
      <c r="J17" s="231">
        <v>2537</v>
      </c>
      <c r="K17" s="231">
        <v>584</v>
      </c>
      <c r="L17" s="232">
        <v>2597</v>
      </c>
      <c r="M17" s="231">
        <v>570</v>
      </c>
      <c r="N17" s="232">
        <v>12271</v>
      </c>
      <c r="O17" s="233">
        <v>26185</v>
      </c>
      <c r="P17" s="231">
        <v>28609</v>
      </c>
      <c r="Q17" s="233">
        <f t="shared" si="0"/>
        <v>14868</v>
      </c>
      <c r="R17" s="231">
        <v>15928</v>
      </c>
    </row>
    <row r="18" spans="1:18" ht="12.75">
      <c r="A18" s="234" t="s">
        <v>158</v>
      </c>
      <c r="B18" s="235">
        <v>460</v>
      </c>
      <c r="C18" s="228">
        <v>247</v>
      </c>
      <c r="D18" s="229">
        <v>311</v>
      </c>
      <c r="E18" s="230"/>
      <c r="F18" s="230"/>
      <c r="G18" s="231">
        <v>538</v>
      </c>
      <c r="H18" s="231">
        <v>654</v>
      </c>
      <c r="I18" s="231">
        <v>264</v>
      </c>
      <c r="J18" s="231">
        <v>596</v>
      </c>
      <c r="K18" s="231">
        <v>118</v>
      </c>
      <c r="L18" s="232">
        <v>431</v>
      </c>
      <c r="M18" s="231">
        <v>142</v>
      </c>
      <c r="N18" s="232">
        <v>2417</v>
      </c>
      <c r="O18" s="233">
        <v>5160</v>
      </c>
      <c r="P18" s="231">
        <v>5849</v>
      </c>
      <c r="Q18" s="233">
        <f t="shared" si="0"/>
        <v>2848</v>
      </c>
      <c r="R18" s="231">
        <v>3226</v>
      </c>
    </row>
    <row r="19" spans="1:18" ht="12.75">
      <c r="A19" s="226" t="s">
        <v>159</v>
      </c>
      <c r="B19" s="227">
        <v>917</v>
      </c>
      <c r="C19" s="228">
        <v>508</v>
      </c>
      <c r="D19" s="229">
        <v>710</v>
      </c>
      <c r="E19" s="230"/>
      <c r="F19" s="230"/>
      <c r="G19" s="231">
        <v>2772</v>
      </c>
      <c r="H19" s="231">
        <v>3211</v>
      </c>
      <c r="I19" s="231">
        <v>1431</v>
      </c>
      <c r="J19" s="231">
        <v>2966</v>
      </c>
      <c r="K19" s="231">
        <v>565</v>
      </c>
      <c r="L19" s="232">
        <v>1776</v>
      </c>
      <c r="M19" s="231">
        <v>967</v>
      </c>
      <c r="N19" s="232">
        <v>9330</v>
      </c>
      <c r="O19" s="233">
        <v>23018</v>
      </c>
      <c r="P19" s="231">
        <v>24993</v>
      </c>
      <c r="Q19" s="233">
        <f t="shared" si="0"/>
        <v>11106</v>
      </c>
      <c r="R19" s="231">
        <v>12084</v>
      </c>
    </row>
    <row r="20" spans="1:18" ht="12.75">
      <c r="A20" s="234" t="s">
        <v>160</v>
      </c>
      <c r="B20" s="235">
        <v>787</v>
      </c>
      <c r="C20" s="228">
        <v>419</v>
      </c>
      <c r="D20" s="229">
        <v>562</v>
      </c>
      <c r="E20" s="230"/>
      <c r="F20" s="230"/>
      <c r="G20" s="231">
        <v>1081</v>
      </c>
      <c r="H20" s="231">
        <v>1697</v>
      </c>
      <c r="I20" s="231">
        <v>471</v>
      </c>
      <c r="J20" s="231">
        <v>1312</v>
      </c>
      <c r="K20" s="231">
        <v>200</v>
      </c>
      <c r="L20" s="232">
        <v>1383</v>
      </c>
      <c r="M20" s="231">
        <v>241</v>
      </c>
      <c r="N20" s="232">
        <v>4927</v>
      </c>
      <c r="O20" s="233">
        <v>11312</v>
      </c>
      <c r="P20" s="231">
        <v>12030</v>
      </c>
      <c r="Q20" s="233">
        <f t="shared" si="0"/>
        <v>6310</v>
      </c>
      <c r="R20" s="231">
        <v>6516</v>
      </c>
    </row>
    <row r="21" spans="1:18" ht="12.75">
      <c r="A21" s="226" t="s">
        <v>161</v>
      </c>
      <c r="B21" s="227">
        <v>552</v>
      </c>
      <c r="C21" s="228">
        <v>368</v>
      </c>
      <c r="D21" s="229">
        <v>483</v>
      </c>
      <c r="E21" s="230"/>
      <c r="F21" s="230"/>
      <c r="G21" s="231">
        <v>2097</v>
      </c>
      <c r="H21" s="231">
        <v>2620</v>
      </c>
      <c r="I21" s="231">
        <v>1401</v>
      </c>
      <c r="J21" s="231">
        <v>2128</v>
      </c>
      <c r="K21" s="231">
        <v>897</v>
      </c>
      <c r="L21" s="232">
        <v>1763</v>
      </c>
      <c r="M21" s="231">
        <v>730</v>
      </c>
      <c r="N21" s="232">
        <v>9661</v>
      </c>
      <c r="O21" s="233">
        <v>21297</v>
      </c>
      <c r="P21" s="231">
        <v>22395</v>
      </c>
      <c r="Q21" s="233">
        <f t="shared" si="0"/>
        <v>11424</v>
      </c>
      <c r="R21" s="231">
        <v>11463</v>
      </c>
    </row>
    <row r="22" spans="1:18" ht="24">
      <c r="A22" s="234" t="s">
        <v>211</v>
      </c>
      <c r="B22" s="235">
        <v>1077</v>
      </c>
      <c r="C22" s="228">
        <v>540</v>
      </c>
      <c r="D22" s="229">
        <v>759</v>
      </c>
      <c r="E22" s="230"/>
      <c r="F22" s="230"/>
      <c r="G22" s="231">
        <v>3408</v>
      </c>
      <c r="H22" s="231">
        <v>3269</v>
      </c>
      <c r="I22" s="231">
        <v>1817</v>
      </c>
      <c r="J22" s="231">
        <v>2522</v>
      </c>
      <c r="K22" s="231">
        <v>463</v>
      </c>
      <c r="L22" s="232">
        <v>1722</v>
      </c>
      <c r="M22" s="231">
        <v>610</v>
      </c>
      <c r="N22" s="232">
        <v>10338</v>
      </c>
      <c r="O22" s="233">
        <v>24149</v>
      </c>
      <c r="P22" s="231">
        <v>24446</v>
      </c>
      <c r="Q22" s="233">
        <f t="shared" si="0"/>
        <v>12060</v>
      </c>
      <c r="R22" s="231">
        <v>12619</v>
      </c>
    </row>
    <row r="23" spans="1:18" ht="24">
      <c r="A23" s="226" t="s">
        <v>212</v>
      </c>
      <c r="B23" s="227">
        <v>1350</v>
      </c>
      <c r="C23" s="228">
        <v>687</v>
      </c>
      <c r="D23" s="229">
        <v>951</v>
      </c>
      <c r="E23" s="230"/>
      <c r="F23" s="230"/>
      <c r="G23" s="231">
        <v>2333</v>
      </c>
      <c r="H23" s="231">
        <v>2586</v>
      </c>
      <c r="I23" s="231">
        <v>1074</v>
      </c>
      <c r="J23" s="231">
        <v>1646</v>
      </c>
      <c r="K23" s="231">
        <v>515</v>
      </c>
      <c r="L23" s="232">
        <v>1459</v>
      </c>
      <c r="M23" s="231">
        <v>653</v>
      </c>
      <c r="N23" s="232">
        <v>9150</v>
      </c>
      <c r="O23" s="233">
        <v>19416</v>
      </c>
      <c r="P23" s="231">
        <v>21011</v>
      </c>
      <c r="Q23" s="233">
        <f t="shared" si="0"/>
        <v>10609</v>
      </c>
      <c r="R23" s="231">
        <v>11935</v>
      </c>
    </row>
    <row r="24" spans="1:18" ht="12.75">
      <c r="A24" s="234" t="s">
        <v>164</v>
      </c>
      <c r="B24" s="235">
        <v>1011</v>
      </c>
      <c r="C24" s="228">
        <v>542</v>
      </c>
      <c r="D24" s="237">
        <v>734</v>
      </c>
      <c r="E24" s="230"/>
      <c r="F24" s="230"/>
      <c r="G24" s="231">
        <v>1970</v>
      </c>
      <c r="H24" s="231">
        <v>2489</v>
      </c>
      <c r="I24" s="231">
        <v>733</v>
      </c>
      <c r="J24" s="231">
        <v>2005</v>
      </c>
      <c r="K24" s="231">
        <v>397</v>
      </c>
      <c r="L24" s="232">
        <v>1773</v>
      </c>
      <c r="M24" s="231">
        <v>214</v>
      </c>
      <c r="N24" s="232">
        <v>7694</v>
      </c>
      <c r="O24" s="233">
        <v>17275</v>
      </c>
      <c r="P24" s="231">
        <v>18527</v>
      </c>
      <c r="Q24" s="233">
        <f t="shared" si="0"/>
        <v>9467</v>
      </c>
      <c r="R24" s="231">
        <v>9876</v>
      </c>
    </row>
    <row r="25" spans="1:18" ht="12.75">
      <c r="A25" s="238" t="s">
        <v>131</v>
      </c>
      <c r="B25" s="239">
        <f aca="true" t="shared" si="1" ref="B25:Q25">SUM(B5:B24)</f>
        <v>20959</v>
      </c>
      <c r="C25" s="240">
        <f t="shared" si="1"/>
        <v>11215</v>
      </c>
      <c r="D25" s="241">
        <f t="shared" si="1"/>
        <v>15391</v>
      </c>
      <c r="E25" s="242">
        <f t="shared" si="1"/>
        <v>0</v>
      </c>
      <c r="F25" s="242">
        <f t="shared" si="1"/>
        <v>0</v>
      </c>
      <c r="G25" s="243">
        <f t="shared" si="1"/>
        <v>42970</v>
      </c>
      <c r="H25" s="243">
        <f t="shared" si="1"/>
        <v>52647</v>
      </c>
      <c r="I25" s="243">
        <f t="shared" si="1"/>
        <v>20363</v>
      </c>
      <c r="J25" s="243">
        <f t="shared" si="1"/>
        <v>41898</v>
      </c>
      <c r="K25" s="243">
        <f t="shared" si="1"/>
        <v>9687</v>
      </c>
      <c r="L25" s="243">
        <f t="shared" si="1"/>
        <v>36495</v>
      </c>
      <c r="M25" s="243">
        <f t="shared" si="1"/>
        <v>10843</v>
      </c>
      <c r="N25" s="243">
        <f t="shared" si="1"/>
        <v>172038</v>
      </c>
      <c r="O25" s="233">
        <f t="shared" si="1"/>
        <v>386941</v>
      </c>
      <c r="P25" s="243">
        <f t="shared" si="1"/>
        <v>420923</v>
      </c>
      <c r="Q25" s="233">
        <f t="shared" si="1"/>
        <v>208533</v>
      </c>
      <c r="R25" s="243">
        <v>223086</v>
      </c>
    </row>
    <row r="26" spans="3:16" ht="12.75">
      <c r="C26" s="337">
        <f>SUM(D25-C25)</f>
        <v>4176</v>
      </c>
      <c r="D26" s="337"/>
      <c r="L26" s="244"/>
      <c r="M26" s="245"/>
      <c r="N26" s="246" t="s">
        <v>213</v>
      </c>
      <c r="O26" s="338">
        <f>SUM(O25-P25)</f>
        <v>-33982</v>
      </c>
      <c r="P26" s="338"/>
    </row>
    <row r="27" spans="15:16" ht="12.75">
      <c r="O27" s="339">
        <f>SUM(O25/P25-1)</f>
        <v>-0.08073210539694908</v>
      </c>
      <c r="P27" s="339"/>
    </row>
    <row r="28" spans="1:8" ht="11.25">
      <c r="A28" s="341" t="s">
        <v>130</v>
      </c>
      <c r="B28" s="342" t="s">
        <v>76</v>
      </c>
      <c r="C28" s="342"/>
      <c r="D28" s="247"/>
      <c r="G28" s="342" t="s">
        <v>76</v>
      </c>
      <c r="H28" s="342"/>
    </row>
    <row r="29" spans="1:8" ht="22.5">
      <c r="A29" s="341"/>
      <c r="B29" s="248"/>
      <c r="C29" s="249" t="s">
        <v>214</v>
      </c>
      <c r="D29" s="250"/>
      <c r="G29" s="248" t="s">
        <v>215</v>
      </c>
      <c r="H29" s="249" t="s">
        <v>214</v>
      </c>
    </row>
    <row r="30" spans="1:8" ht="12">
      <c r="A30" s="226" t="s">
        <v>209</v>
      </c>
      <c r="B30" s="227">
        <v>11256</v>
      </c>
      <c r="C30" s="251">
        <f>Bovinos_e_Comerc!P11</f>
        <v>2.671197583511016</v>
      </c>
      <c r="D30" s="252"/>
      <c r="G30" s="227">
        <v>11620</v>
      </c>
      <c r="H30" s="251">
        <v>2.587521514629948</v>
      </c>
    </row>
    <row r="31" spans="1:8" ht="12">
      <c r="A31" s="234" t="s">
        <v>146</v>
      </c>
      <c r="B31" s="235">
        <v>7420</v>
      </c>
      <c r="C31" s="251">
        <f>Bovinos_e_Comerc!P26</f>
        <v>2.5318137147848874</v>
      </c>
      <c r="D31" s="252"/>
      <c r="G31" s="235">
        <v>7700</v>
      </c>
      <c r="H31" s="251">
        <v>2.4824785867237686</v>
      </c>
    </row>
    <row r="32" spans="1:8" ht="24">
      <c r="A32" s="226" t="s">
        <v>147</v>
      </c>
      <c r="B32" s="227">
        <v>4579</v>
      </c>
      <c r="C32" s="251">
        <f>Bovinos_e_Comerc!P41</f>
        <v>2.53854553395938</v>
      </c>
      <c r="D32" s="252"/>
      <c r="G32" s="227">
        <v>4670</v>
      </c>
      <c r="H32" s="251">
        <v>2.489079229122056</v>
      </c>
    </row>
    <row r="33" spans="1:8" ht="12">
      <c r="A33" s="234" t="s">
        <v>148</v>
      </c>
      <c r="B33" s="235">
        <v>7475</v>
      </c>
      <c r="C33" s="251">
        <f>Bovinos_e_Comerc!P56</f>
        <v>2.329632107023411</v>
      </c>
      <c r="D33" s="252"/>
      <c r="G33" s="235">
        <v>7860</v>
      </c>
      <c r="H33" s="251">
        <v>2.2155216284987276</v>
      </c>
    </row>
    <row r="34" spans="1:8" ht="12">
      <c r="A34" s="226" t="s">
        <v>149</v>
      </c>
      <c r="B34" s="227">
        <v>9310</v>
      </c>
      <c r="C34" s="251">
        <f>Bovinos_e_Comerc!P71</f>
        <v>2.568313641245972</v>
      </c>
      <c r="D34" s="252"/>
      <c r="G34" s="227">
        <v>9800</v>
      </c>
      <c r="H34" s="251">
        <v>2.4398979591836736</v>
      </c>
    </row>
    <row r="35" spans="1:8" ht="12">
      <c r="A35" s="234" t="s">
        <v>150</v>
      </c>
      <c r="B35" s="235">
        <v>7220</v>
      </c>
      <c r="C35" s="251">
        <f>Bovinos_e_Comerc!P86</f>
        <v>2.807202216066482</v>
      </c>
      <c r="D35" s="252"/>
      <c r="G35" s="235">
        <v>7500</v>
      </c>
      <c r="H35" s="251">
        <v>2.7024</v>
      </c>
    </row>
    <row r="36" spans="1:8" ht="24">
      <c r="A36" s="226" t="s">
        <v>151</v>
      </c>
      <c r="B36" s="227">
        <v>5540</v>
      </c>
      <c r="C36" s="251">
        <f>Bovinos_e_Comerc!P101</f>
        <v>2.4747292418772564</v>
      </c>
      <c r="D36" s="252"/>
      <c r="G36" s="227">
        <v>5820</v>
      </c>
      <c r="H36" s="251">
        <v>2.3556701030927836</v>
      </c>
    </row>
    <row r="37" spans="1:8" ht="12">
      <c r="A37" s="234" t="s">
        <v>152</v>
      </c>
      <c r="B37" s="235">
        <v>13970</v>
      </c>
      <c r="C37" s="251">
        <f>Bovinos_e_Comerc!P116</f>
        <v>2.6587258410880454</v>
      </c>
      <c r="D37" s="252"/>
      <c r="G37" s="235">
        <v>14600</v>
      </c>
      <c r="H37" s="251">
        <v>2.5439999999999996</v>
      </c>
    </row>
    <row r="38" spans="1:8" ht="12">
      <c r="A38" s="226" t="s">
        <v>153</v>
      </c>
      <c r="B38" s="227">
        <v>10046</v>
      </c>
      <c r="C38" s="251">
        <f>Bovinos_e_Comerc!P131</f>
        <v>2.1785785387218795</v>
      </c>
      <c r="D38" s="252"/>
      <c r="G38" s="227">
        <v>10200</v>
      </c>
      <c r="H38" s="251">
        <v>2.1456862745098038</v>
      </c>
    </row>
    <row r="39" spans="1:8" ht="12">
      <c r="A39" s="234" t="s">
        <v>154</v>
      </c>
      <c r="B39" s="235">
        <v>7380</v>
      </c>
      <c r="C39" s="251">
        <f>Bovinos_e_Comerc!P146</f>
        <v>2.169188617886179</v>
      </c>
      <c r="D39" s="252"/>
      <c r="G39" s="235">
        <v>7660</v>
      </c>
      <c r="H39" s="251">
        <v>2.089897127937337</v>
      </c>
    </row>
    <row r="40" spans="1:8" ht="12">
      <c r="A40" s="226" t="s">
        <v>210</v>
      </c>
      <c r="B40" s="227">
        <v>3094</v>
      </c>
      <c r="C40" s="251">
        <f>Bovinos_e_Comerc!P161</f>
        <v>2.889786683904331</v>
      </c>
      <c r="D40" s="252"/>
      <c r="G40" s="227">
        <v>3850</v>
      </c>
      <c r="H40" s="251">
        <v>2.322337662337662</v>
      </c>
    </row>
    <row r="41" spans="1:8" ht="24">
      <c r="A41" s="234" t="s">
        <v>156</v>
      </c>
      <c r="B41" s="235">
        <v>4360</v>
      </c>
      <c r="C41" s="251">
        <f>Bovinos_e_Comerc!P176</f>
        <v>2.5658532110091743</v>
      </c>
      <c r="D41" s="252"/>
      <c r="G41" s="235">
        <v>4500</v>
      </c>
      <c r="H41" s="251">
        <v>2.486026666666667</v>
      </c>
    </row>
    <row r="42" spans="1:8" ht="12">
      <c r="A42" s="226" t="s">
        <v>157</v>
      </c>
      <c r="B42" s="227">
        <v>8470</v>
      </c>
      <c r="C42" s="251">
        <f>Bovinos_e_Comerc!P191</f>
        <v>3.0006080283353014</v>
      </c>
      <c r="D42" s="252"/>
      <c r="G42" s="227">
        <v>9100</v>
      </c>
      <c r="H42" s="251">
        <v>2.7928736263736265</v>
      </c>
    </row>
    <row r="43" spans="1:8" ht="12">
      <c r="A43" s="234" t="s">
        <v>158</v>
      </c>
      <c r="B43" s="235">
        <v>2320</v>
      </c>
      <c r="C43" s="251">
        <f>Bovinos_e_Comerc!P206</f>
        <v>2.1741379310344824</v>
      </c>
      <c r="D43" s="252"/>
      <c r="G43" s="235">
        <v>2530</v>
      </c>
      <c r="H43" s="251">
        <v>1.9936758893280628</v>
      </c>
    </row>
    <row r="44" spans="1:8" ht="12">
      <c r="A44" s="226" t="s">
        <v>159</v>
      </c>
      <c r="B44" s="227">
        <v>9985</v>
      </c>
      <c r="C44" s="251">
        <f>Bovinos_e_Comerc!P221</f>
        <v>2.180611517275914</v>
      </c>
      <c r="D44" s="252"/>
      <c r="G44" s="227">
        <v>10125</v>
      </c>
      <c r="H44" s="251">
        <v>2.1504598518518523</v>
      </c>
    </row>
    <row r="45" spans="1:8" ht="12">
      <c r="A45" s="234" t="s">
        <v>160</v>
      </c>
      <c r="B45" s="235">
        <v>4040</v>
      </c>
      <c r="C45" s="251">
        <f>Bovinos_e_Comerc!P236</f>
        <v>2.6945544554455445</v>
      </c>
      <c r="D45" s="252"/>
      <c r="G45" s="235">
        <v>4950</v>
      </c>
      <c r="H45" s="251">
        <v>2.1991919191919194</v>
      </c>
    </row>
    <row r="46" spans="1:8" ht="12">
      <c r="A46" s="226" t="s">
        <v>161</v>
      </c>
      <c r="B46" s="227">
        <v>8240</v>
      </c>
      <c r="C46" s="251">
        <f>Bovinos_e_Comerc!P251</f>
        <v>2.463242718446602</v>
      </c>
      <c r="D46" s="252"/>
      <c r="G46" s="227">
        <v>8380</v>
      </c>
      <c r="H46" s="251">
        <v>2.422090692124105</v>
      </c>
    </row>
    <row r="47" spans="1:8" ht="24">
      <c r="A47" s="234" t="s">
        <v>211</v>
      </c>
      <c r="B47" s="235">
        <v>8120</v>
      </c>
      <c r="C47" s="251">
        <f>Bovinos_e_Comerc!P266</f>
        <v>2.6227352216748767</v>
      </c>
      <c r="D47" s="252"/>
      <c r="G47" s="235">
        <v>9100</v>
      </c>
      <c r="H47" s="251">
        <v>2.3402868131868133</v>
      </c>
    </row>
    <row r="48" spans="1:8" ht="24">
      <c r="A48" s="226" t="s">
        <v>212</v>
      </c>
      <c r="B48" s="227">
        <v>7310</v>
      </c>
      <c r="C48" s="251">
        <f>Bovinos_e_Comerc!P281</f>
        <v>2.609575923392613</v>
      </c>
      <c r="D48" s="252"/>
      <c r="G48" s="227">
        <v>7730</v>
      </c>
      <c r="H48" s="251">
        <v>2.4677878395860287</v>
      </c>
    </row>
    <row r="49" spans="1:8" ht="12">
      <c r="A49" s="234" t="s">
        <v>164</v>
      </c>
      <c r="B49" s="235">
        <v>5590</v>
      </c>
      <c r="C49" s="251">
        <f>Bovinos_e_Comerc!P296</f>
        <v>2.820840787119857</v>
      </c>
      <c r="D49" s="252"/>
      <c r="G49" s="235">
        <v>6500</v>
      </c>
      <c r="H49" s="251">
        <v>2.425923076923077</v>
      </c>
    </row>
    <row r="50" spans="1:8" ht="12.75">
      <c r="A50" s="238" t="s">
        <v>131</v>
      </c>
      <c r="B50" s="243">
        <f>SUM(B30:B49)</f>
        <v>145725</v>
      </c>
      <c r="C50" s="240">
        <f>SUM(C30:C49)</f>
        <v>50.949873513803205</v>
      </c>
      <c r="D50" s="253"/>
      <c r="G50" s="243">
        <v>154195</v>
      </c>
      <c r="H50" s="240"/>
    </row>
  </sheetData>
  <sheetProtection sheet="1"/>
  <mergeCells count="15">
    <mergeCell ref="K3:L3"/>
    <mergeCell ref="A28:A29"/>
    <mergeCell ref="B28:C28"/>
    <mergeCell ref="G28:H28"/>
    <mergeCell ref="A3:A4"/>
    <mergeCell ref="M3:N3"/>
    <mergeCell ref="O3:P3"/>
    <mergeCell ref="Q3:R3"/>
    <mergeCell ref="C26:D26"/>
    <mergeCell ref="O26:P26"/>
    <mergeCell ref="O27:P27"/>
    <mergeCell ref="B3:D3"/>
    <mergeCell ref="E3:F3"/>
    <mergeCell ref="G3:H3"/>
    <mergeCell ref="I3:J3"/>
  </mergeCells>
  <printOptions horizontalCentered="1"/>
  <pageMargins left="0.39375" right="0.39375" top="0" bottom="0" header="0.5118055555555555" footer="0.5118055555555555"/>
  <pageSetup horizontalDpi="300" verticalDpi="300" orientation="landscape" pageOrder="overThenDown" paperSize="7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X38"/>
  <sheetViews>
    <sheetView showGridLines="0" zoomScalePageLayoutView="0" workbookViewId="0" topLeftCell="A1">
      <selection activeCell="V20" sqref="V20"/>
    </sheetView>
  </sheetViews>
  <sheetFormatPr defaultColWidth="7.83984375" defaultRowHeight="23.25"/>
  <cols>
    <col min="1" max="1" width="31.69140625" style="1" customWidth="1"/>
    <col min="2" max="9" width="10.30859375" style="1" customWidth="1"/>
    <col min="10" max="10" width="12.83984375" style="1" customWidth="1"/>
    <col min="11" max="14" width="10.30859375" style="1" customWidth="1"/>
    <col min="15" max="16" width="7.83984375" style="1" customWidth="1"/>
    <col min="17" max="17" width="10.30859375" style="1" customWidth="1"/>
    <col min="18" max="18" width="7.69140625" style="1" customWidth="1"/>
    <col min="19" max="19" width="9.83984375" style="1" customWidth="1"/>
    <col min="20" max="20" width="10.83984375" style="1" customWidth="1"/>
    <col min="21" max="16384" width="7.83984375" style="1" customWidth="1"/>
  </cols>
  <sheetData>
    <row r="1" spans="1:24" ht="11.25">
      <c r="A1" s="33" t="s">
        <v>0</v>
      </c>
      <c r="B1" s="2"/>
      <c r="C1" s="2"/>
      <c r="D1" s="2"/>
      <c r="E1" s="10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1.25">
      <c r="A2" s="33" t="s">
        <v>2</v>
      </c>
      <c r="B2" s="2"/>
      <c r="C2" s="2"/>
      <c r="D2" s="2"/>
      <c r="E2" s="10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3" t="s">
        <v>3</v>
      </c>
      <c r="B3" s="2"/>
      <c r="C3" s="2"/>
      <c r="D3" s="2"/>
      <c r="E3" s="10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54"/>
      <c r="S3" s="254"/>
      <c r="T3" s="254"/>
      <c r="U3" s="254"/>
      <c r="V3" s="2"/>
      <c r="W3" s="2"/>
      <c r="X3" s="2"/>
    </row>
    <row r="4" spans="1:24" ht="12.75">
      <c r="A4" s="2"/>
      <c r="B4" s="2"/>
      <c r="C4" s="2"/>
      <c r="D4" s="2"/>
      <c r="E4" s="10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54"/>
      <c r="S4" s="254"/>
      <c r="T4" s="254"/>
      <c r="U4" s="254"/>
      <c r="V4" s="2"/>
      <c r="W4" s="2"/>
      <c r="X4" s="2"/>
    </row>
    <row r="5" spans="1:24" ht="15.75">
      <c r="A5" s="102" t="s">
        <v>216</v>
      </c>
      <c r="B5" s="103"/>
      <c r="C5" s="103"/>
      <c r="D5" s="103"/>
      <c r="E5" s="105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254"/>
      <c r="S5" s="254"/>
      <c r="T5" s="254"/>
      <c r="U5" s="254"/>
      <c r="V5" s="2"/>
      <c r="W5" s="2"/>
      <c r="X5" s="2"/>
    </row>
    <row r="6" spans="1:24" ht="11.25">
      <c r="A6" s="2"/>
      <c r="B6" s="2"/>
      <c r="C6" s="2"/>
      <c r="D6" s="2"/>
      <c r="E6" s="10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ht="18" customHeight="1">
      <c r="B7" s="255" t="s">
        <v>217</v>
      </c>
      <c r="C7" s="255" t="s">
        <v>218</v>
      </c>
      <c r="D7" s="255" t="s">
        <v>219</v>
      </c>
      <c r="E7" s="255" t="s">
        <v>220</v>
      </c>
      <c r="F7" s="255" t="s">
        <v>221</v>
      </c>
      <c r="G7" s="255" t="s">
        <v>222</v>
      </c>
      <c r="H7" s="255" t="s">
        <v>223</v>
      </c>
      <c r="I7" s="255" t="s">
        <v>224</v>
      </c>
      <c r="J7" s="255" t="s">
        <v>225</v>
      </c>
      <c r="K7" s="255" t="s">
        <v>226</v>
      </c>
      <c r="L7" s="255" t="s">
        <v>227</v>
      </c>
      <c r="M7" s="255" t="s">
        <v>228</v>
      </c>
      <c r="N7" s="255" t="s">
        <v>131</v>
      </c>
      <c r="O7" s="2"/>
      <c r="P7" s="9"/>
      <c r="Q7" s="9"/>
      <c r="R7" s="9"/>
      <c r="S7" s="2"/>
      <c r="T7" s="2"/>
      <c r="U7" s="2"/>
      <c r="V7" s="9"/>
      <c r="W7" s="9"/>
      <c r="X7" s="9"/>
    </row>
    <row r="8" spans="1:24" ht="12" customHeight="1">
      <c r="A8" s="256" t="s">
        <v>229</v>
      </c>
      <c r="B8" s="257">
        <v>0.0865442000439037</v>
      </c>
      <c r="C8" s="257">
        <v>0.0776748134169598</v>
      </c>
      <c r="D8" s="257">
        <v>0.080282708146031</v>
      </c>
      <c r="E8" s="257">
        <v>0.0737343455341798</v>
      </c>
      <c r="F8" s="257">
        <v>0.0740918240692675</v>
      </c>
      <c r="G8" s="257">
        <v>0.0757939477312627</v>
      </c>
      <c r="H8" s="257">
        <v>0.0847349769550822</v>
      </c>
      <c r="I8" s="257">
        <v>0.0895659949127433</v>
      </c>
      <c r="J8" s="257">
        <v>0.0879857087640515</v>
      </c>
      <c r="K8" s="257">
        <v>0.0897785344894895</v>
      </c>
      <c r="L8" s="257">
        <v>0.08837140153817989</v>
      </c>
      <c r="M8" s="257">
        <v>0.0914415443988492</v>
      </c>
      <c r="N8" s="257"/>
      <c r="O8" s="9"/>
      <c r="P8" s="9"/>
      <c r="Q8" s="9"/>
      <c r="R8" s="9"/>
      <c r="S8" s="9"/>
      <c r="T8" s="2"/>
      <c r="U8" s="2"/>
      <c r="V8" s="9"/>
      <c r="W8" s="9"/>
      <c r="X8" s="9"/>
    </row>
    <row r="9" spans="1:24" ht="12" customHeight="1">
      <c r="A9" s="256" t="s">
        <v>230</v>
      </c>
      <c r="B9" s="258">
        <v>0.0574373803700055</v>
      </c>
      <c r="C9" s="258">
        <v>0.0538158856819229</v>
      </c>
      <c r="D9" s="258">
        <v>0.063671509380214</v>
      </c>
      <c r="E9" s="258">
        <v>0.0695881868964621</v>
      </c>
      <c r="F9" s="258">
        <v>0.18014190364013702</v>
      </c>
      <c r="G9" s="258">
        <v>0.10745516652433801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  <c r="N9" s="258">
        <f>+N11/N10-1</f>
        <v>0.040885265145469196</v>
      </c>
      <c r="O9" s="9"/>
      <c r="P9" s="254"/>
      <c r="Q9" s="9"/>
      <c r="R9" s="9"/>
      <c r="S9" s="9"/>
      <c r="T9" s="2"/>
      <c r="U9" s="2"/>
      <c r="V9" s="9"/>
      <c r="W9" s="9"/>
      <c r="X9" s="9"/>
    </row>
    <row r="10" spans="1:24" ht="12" customHeight="1">
      <c r="A10" s="256" t="s">
        <v>231</v>
      </c>
      <c r="B10" s="259">
        <v>42154.659485267</v>
      </c>
      <c r="C10" s="259">
        <v>37834.4858293509</v>
      </c>
      <c r="D10" s="259">
        <v>39104.7606048026</v>
      </c>
      <c r="E10" s="259">
        <v>35915.1303817651</v>
      </c>
      <c r="F10" s="259">
        <v>36089.2539615344</v>
      </c>
      <c r="G10" s="259">
        <v>36918.3383292543</v>
      </c>
      <c r="H10" s="259">
        <v>41273.4082494423</v>
      </c>
      <c r="I10" s="259">
        <v>43626.5401389173</v>
      </c>
      <c r="J10" s="259">
        <v>42856.8013874632</v>
      </c>
      <c r="K10" s="259">
        <v>43730.0656609087</v>
      </c>
      <c r="L10" s="259">
        <v>43044.6677904233</v>
      </c>
      <c r="M10" s="259">
        <v>44540.098180871</v>
      </c>
      <c r="N10" s="259">
        <v>487088.21</v>
      </c>
      <c r="O10" s="2"/>
      <c r="P10" s="254"/>
      <c r="Q10" s="2"/>
      <c r="R10" s="2"/>
      <c r="S10" s="2"/>
      <c r="T10" s="2"/>
      <c r="U10" s="2"/>
      <c r="V10" s="2"/>
      <c r="W10" s="2"/>
      <c r="X10" s="2"/>
    </row>
    <row r="11" spans="1:24" ht="12" customHeight="1">
      <c r="A11" s="256" t="s">
        <v>232</v>
      </c>
      <c r="B11" s="259">
        <f aca="true" t="shared" si="0" ref="B11:M11">+B10*(1+B9)</f>
        <v>44575.91269649034</v>
      </c>
      <c r="C11" s="259">
        <f t="shared" si="0"/>
        <v>39870.58219357758</v>
      </c>
      <c r="D11" s="259">
        <f t="shared" si="0"/>
        <v>41594.619736462315</v>
      </c>
      <c r="E11" s="259">
        <f t="shared" si="0"/>
        <v>38414.39918718217</v>
      </c>
      <c r="F11" s="259">
        <f t="shared" si="0"/>
        <v>42590.440871117564</v>
      </c>
      <c r="G11" s="259">
        <f t="shared" si="0"/>
        <v>40885.40452222617</v>
      </c>
      <c r="H11" s="259">
        <f t="shared" si="0"/>
        <v>41273.4082494423</v>
      </c>
      <c r="I11" s="259">
        <f t="shared" si="0"/>
        <v>43626.5401389173</v>
      </c>
      <c r="J11" s="259">
        <f t="shared" si="0"/>
        <v>42856.8013874632</v>
      </c>
      <c r="K11" s="259">
        <f t="shared" si="0"/>
        <v>43730.0656609087</v>
      </c>
      <c r="L11" s="259">
        <f t="shared" si="0"/>
        <v>43044.6677904233</v>
      </c>
      <c r="M11" s="259">
        <f t="shared" si="0"/>
        <v>44540.098180871</v>
      </c>
      <c r="N11" s="259">
        <f>+SUM(B11:M11)</f>
        <v>507002.940615082</v>
      </c>
      <c r="O11" s="2"/>
      <c r="P11" s="254"/>
      <c r="Q11" s="2"/>
      <c r="R11" s="2"/>
      <c r="S11" s="2"/>
      <c r="T11" s="2"/>
      <c r="U11" s="2"/>
      <c r="V11" s="2"/>
      <c r="W11" s="2"/>
      <c r="X11" s="2"/>
    </row>
    <row r="12" spans="1:24" ht="12.75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</row>
    <row r="13" spans="1:24" ht="30" customHeight="1">
      <c r="A13" s="260"/>
      <c r="B13" s="255" t="s">
        <v>145</v>
      </c>
      <c r="C13" s="255" t="s">
        <v>233</v>
      </c>
      <c r="D13" s="113" t="s">
        <v>234</v>
      </c>
      <c r="E13" s="113" t="s">
        <v>235</v>
      </c>
      <c r="F13" s="255" t="s">
        <v>149</v>
      </c>
      <c r="G13" s="113" t="s">
        <v>236</v>
      </c>
      <c r="H13" s="113" t="s">
        <v>237</v>
      </c>
      <c r="I13" s="113" t="s">
        <v>238</v>
      </c>
      <c r="J13" s="113" t="s">
        <v>239</v>
      </c>
      <c r="K13" s="255" t="s">
        <v>154</v>
      </c>
      <c r="L13" s="113" t="s">
        <v>240</v>
      </c>
      <c r="M13" s="113" t="s">
        <v>241</v>
      </c>
      <c r="N13" s="255" t="s">
        <v>157</v>
      </c>
      <c r="O13" s="255" t="s">
        <v>158</v>
      </c>
      <c r="P13" s="255" t="s">
        <v>159</v>
      </c>
      <c r="Q13" s="113" t="s">
        <v>242</v>
      </c>
      <c r="R13" s="113" t="s">
        <v>161</v>
      </c>
      <c r="S13" s="113" t="s">
        <v>243</v>
      </c>
      <c r="T13" s="113" t="s">
        <v>244</v>
      </c>
      <c r="U13" s="255" t="s">
        <v>245</v>
      </c>
      <c r="V13" s="255" t="s">
        <v>131</v>
      </c>
      <c r="W13" s="255"/>
      <c r="X13" s="255" t="s">
        <v>131</v>
      </c>
    </row>
    <row r="14" spans="1:24" ht="11.25">
      <c r="A14" s="256" t="s">
        <v>246</v>
      </c>
      <c r="B14" s="259"/>
      <c r="C14" s="259"/>
      <c r="D14" s="259"/>
      <c r="E14" s="259"/>
      <c r="F14" s="259"/>
      <c r="G14" s="259">
        <v>1700</v>
      </c>
      <c r="H14" s="259">
        <v>933</v>
      </c>
      <c r="I14" s="259"/>
      <c r="J14" s="259">
        <v>242</v>
      </c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>
        <f aca="true" t="shared" si="1" ref="V14:V37">SUM(B14:K14)</f>
        <v>2875</v>
      </c>
      <c r="W14" s="257">
        <v>0.04</v>
      </c>
      <c r="X14" s="259">
        <f aca="true" t="shared" si="2" ref="X14:X37">V14*W14+V14</f>
        <v>2990</v>
      </c>
    </row>
    <row r="15" spans="1:24" ht="11.25">
      <c r="A15" s="256" t="s">
        <v>247</v>
      </c>
      <c r="B15" s="259"/>
      <c r="C15" s="259"/>
      <c r="D15" s="259"/>
      <c r="E15" s="259"/>
      <c r="F15" s="259"/>
      <c r="G15" s="259">
        <v>35</v>
      </c>
      <c r="H15" s="259">
        <v>1510</v>
      </c>
      <c r="I15" s="259"/>
      <c r="J15" s="259">
        <v>172</v>
      </c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>
        <f t="shared" si="1"/>
        <v>1717</v>
      </c>
      <c r="W15" s="257">
        <v>0.2</v>
      </c>
      <c r="X15" s="259">
        <f t="shared" si="2"/>
        <v>2060.4</v>
      </c>
    </row>
    <row r="16" spans="1:24" ht="11.25">
      <c r="A16" s="256" t="s">
        <v>248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>
        <f t="shared" si="1"/>
        <v>0</v>
      </c>
      <c r="W16" s="257"/>
      <c r="X16" s="259">
        <f t="shared" si="2"/>
        <v>0</v>
      </c>
    </row>
    <row r="17" spans="1:24" ht="11.25">
      <c r="A17" s="256" t="s">
        <v>249</v>
      </c>
      <c r="B17" s="259">
        <v>1583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>
        <f t="shared" si="1"/>
        <v>1583</v>
      </c>
      <c r="W17" s="257">
        <v>0.4</v>
      </c>
      <c r="X17" s="259">
        <f t="shared" si="2"/>
        <v>2216.2</v>
      </c>
    </row>
    <row r="18" spans="1:24" ht="11.25">
      <c r="A18" s="256" t="s">
        <v>250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>
        <v>716</v>
      </c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>
        <f t="shared" si="1"/>
        <v>716</v>
      </c>
      <c r="W18" s="257">
        <v>0.30000000000000004</v>
      </c>
      <c r="X18" s="259">
        <f t="shared" si="2"/>
        <v>930.8000000000001</v>
      </c>
    </row>
    <row r="19" spans="1:24" ht="11.25">
      <c r="A19" s="256" t="s">
        <v>251</v>
      </c>
      <c r="B19" s="259">
        <v>21</v>
      </c>
      <c r="C19" s="259"/>
      <c r="D19" s="259">
        <v>159</v>
      </c>
      <c r="E19" s="259"/>
      <c r="F19" s="259"/>
      <c r="G19" s="259">
        <v>834</v>
      </c>
      <c r="H19" s="259"/>
      <c r="I19" s="259">
        <v>96</v>
      </c>
      <c r="J19" s="259"/>
      <c r="K19" s="259">
        <v>3095</v>
      </c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>
        <f t="shared" si="1"/>
        <v>4205</v>
      </c>
      <c r="W19" s="257">
        <v>0.05</v>
      </c>
      <c r="X19" s="259">
        <f t="shared" si="2"/>
        <v>4415.25</v>
      </c>
    </row>
    <row r="20" spans="1:24" ht="11.25">
      <c r="A20" s="256" t="s">
        <v>252</v>
      </c>
      <c r="B20" s="259">
        <v>2637</v>
      </c>
      <c r="C20" s="259">
        <v>724</v>
      </c>
      <c r="D20" s="259"/>
      <c r="E20" s="259"/>
      <c r="F20" s="259">
        <v>34</v>
      </c>
      <c r="G20" s="259">
        <v>5460</v>
      </c>
      <c r="H20" s="259">
        <v>2287</v>
      </c>
      <c r="I20" s="259">
        <v>3185</v>
      </c>
      <c r="J20" s="259">
        <v>284</v>
      </c>
      <c r="K20" s="259">
        <v>3319</v>
      </c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>
        <f t="shared" si="1"/>
        <v>17930</v>
      </c>
      <c r="W20" s="257">
        <v>0.0425</v>
      </c>
      <c r="X20" s="259">
        <f t="shared" si="2"/>
        <v>18692.025</v>
      </c>
    </row>
    <row r="21" spans="1:24" ht="11.25">
      <c r="A21" s="256" t="s">
        <v>253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>
        <f t="shared" si="1"/>
        <v>0</v>
      </c>
      <c r="W21" s="257"/>
      <c r="X21" s="259">
        <f t="shared" si="2"/>
        <v>0</v>
      </c>
    </row>
    <row r="22" spans="1:24" ht="11.25">
      <c r="A22" s="256" t="s">
        <v>254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>
        <f t="shared" si="1"/>
        <v>0</v>
      </c>
      <c r="W22" s="257"/>
      <c r="X22" s="259">
        <f t="shared" si="2"/>
        <v>0</v>
      </c>
    </row>
    <row r="23" spans="1:24" ht="11.25">
      <c r="A23" s="256" t="s">
        <v>255</v>
      </c>
      <c r="B23" s="259"/>
      <c r="C23" s="259"/>
      <c r="D23" s="259"/>
      <c r="E23" s="259"/>
      <c r="F23" s="259"/>
      <c r="G23" s="259"/>
      <c r="H23" s="259"/>
      <c r="I23" s="259"/>
      <c r="J23" s="259">
        <v>200</v>
      </c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>
        <f t="shared" si="1"/>
        <v>200</v>
      </c>
      <c r="W23" s="257">
        <v>0.25</v>
      </c>
      <c r="X23" s="259">
        <f t="shared" si="2"/>
        <v>250</v>
      </c>
    </row>
    <row r="24" spans="1:24" ht="11.25">
      <c r="A24" s="256" t="s">
        <v>256</v>
      </c>
      <c r="B24" s="259"/>
      <c r="C24" s="259"/>
      <c r="D24" s="259"/>
      <c r="E24" s="259"/>
      <c r="F24" s="259"/>
      <c r="G24" s="259"/>
      <c r="H24" s="259"/>
      <c r="I24" s="259">
        <v>1820</v>
      </c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>
        <f t="shared" si="1"/>
        <v>1820</v>
      </c>
      <c r="W24" s="257">
        <v>0.25</v>
      </c>
      <c r="X24" s="259">
        <f t="shared" si="2"/>
        <v>2275</v>
      </c>
    </row>
    <row r="25" spans="1:24" ht="11.25">
      <c r="A25" s="256" t="s">
        <v>257</v>
      </c>
      <c r="B25" s="259">
        <v>250</v>
      </c>
      <c r="C25" s="259">
        <v>200</v>
      </c>
      <c r="D25" s="259">
        <v>250</v>
      </c>
      <c r="E25" s="259">
        <v>150</v>
      </c>
      <c r="F25" s="259">
        <v>250</v>
      </c>
      <c r="G25" s="259">
        <v>900</v>
      </c>
      <c r="H25" s="259">
        <v>650</v>
      </c>
      <c r="I25" s="259">
        <v>1200</v>
      </c>
      <c r="J25" s="259">
        <v>180</v>
      </c>
      <c r="K25" s="259">
        <v>250</v>
      </c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>
        <f t="shared" si="1"/>
        <v>4280</v>
      </c>
      <c r="W25" s="257"/>
      <c r="X25" s="259">
        <f t="shared" si="2"/>
        <v>4280</v>
      </c>
    </row>
    <row r="26" spans="1:24" ht="11.25">
      <c r="A26" s="256" t="s">
        <v>258</v>
      </c>
      <c r="B26" s="259"/>
      <c r="C26" s="259"/>
      <c r="D26" s="259">
        <v>364</v>
      </c>
      <c r="E26" s="259"/>
      <c r="F26" s="259">
        <v>1549</v>
      </c>
      <c r="G26" s="259"/>
      <c r="H26" s="259"/>
      <c r="I26" s="259">
        <v>193</v>
      </c>
      <c r="J26" s="259"/>
      <c r="K26" s="259">
        <v>1155</v>
      </c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>
        <f t="shared" si="1"/>
        <v>3261</v>
      </c>
      <c r="W26" s="257">
        <v>0.375</v>
      </c>
      <c r="X26" s="259">
        <f t="shared" si="2"/>
        <v>4483.875</v>
      </c>
    </row>
    <row r="27" spans="1:24" ht="11.25">
      <c r="A27" s="256" t="s">
        <v>259</v>
      </c>
      <c r="B27" s="259"/>
      <c r="C27" s="259"/>
      <c r="D27" s="259"/>
      <c r="E27" s="259"/>
      <c r="F27" s="259"/>
      <c r="G27" s="259"/>
      <c r="H27" s="259"/>
      <c r="I27" s="259">
        <v>5475</v>
      </c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>
        <f t="shared" si="1"/>
        <v>5475</v>
      </c>
      <c r="W27" s="257">
        <v>0.05</v>
      </c>
      <c r="X27" s="259">
        <f t="shared" si="2"/>
        <v>5748.75</v>
      </c>
    </row>
    <row r="28" spans="1:24" ht="11.25">
      <c r="A28" s="256" t="s">
        <v>260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>
        <f t="shared" si="1"/>
        <v>0</v>
      </c>
      <c r="W28" s="257"/>
      <c r="X28" s="259">
        <f t="shared" si="2"/>
        <v>0</v>
      </c>
    </row>
    <row r="29" spans="1:24" ht="11.25">
      <c r="A29" s="256" t="s">
        <v>261</v>
      </c>
      <c r="B29" s="259"/>
      <c r="C29" s="259"/>
      <c r="D29" s="259"/>
      <c r="E29" s="259"/>
      <c r="F29" s="259">
        <v>3450</v>
      </c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>
        <f t="shared" si="1"/>
        <v>3450</v>
      </c>
      <c r="W29" s="257">
        <v>0.35</v>
      </c>
      <c r="X29" s="259">
        <f t="shared" si="2"/>
        <v>4657.5</v>
      </c>
    </row>
    <row r="30" spans="1:24" ht="11.25">
      <c r="A30" s="256" t="s">
        <v>262</v>
      </c>
      <c r="B30" s="259"/>
      <c r="C30" s="259">
        <v>570</v>
      </c>
      <c r="D30" s="259"/>
      <c r="E30" s="259"/>
      <c r="F30" s="259"/>
      <c r="G30" s="259"/>
      <c r="H30" s="259"/>
      <c r="I30" s="259">
        <v>1350</v>
      </c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>
        <f t="shared" si="1"/>
        <v>1920</v>
      </c>
      <c r="W30" s="257">
        <v>0.075</v>
      </c>
      <c r="X30" s="259">
        <f t="shared" si="2"/>
        <v>2064</v>
      </c>
    </row>
    <row r="31" spans="1:24" ht="11.25">
      <c r="A31" s="256" t="s">
        <v>263</v>
      </c>
      <c r="B31" s="259"/>
      <c r="C31" s="259"/>
      <c r="D31" s="259">
        <v>3552</v>
      </c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>
        <f t="shared" si="1"/>
        <v>3552</v>
      </c>
      <c r="W31" s="257">
        <v>0.2</v>
      </c>
      <c r="X31" s="259">
        <f t="shared" si="2"/>
        <v>4262.4</v>
      </c>
    </row>
    <row r="32" spans="1:24" ht="11.25">
      <c r="A32" s="256" t="s">
        <v>264</v>
      </c>
      <c r="B32" s="259"/>
      <c r="C32" s="259">
        <v>104</v>
      </c>
      <c r="D32" s="259">
        <v>77</v>
      </c>
      <c r="E32" s="259"/>
      <c r="F32" s="259">
        <v>529</v>
      </c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>
        <f t="shared" si="1"/>
        <v>710</v>
      </c>
      <c r="W32" s="257">
        <v>0.2</v>
      </c>
      <c r="X32" s="259">
        <f t="shared" si="2"/>
        <v>852</v>
      </c>
    </row>
    <row r="33" spans="1:24" ht="11.25">
      <c r="A33" s="256" t="s">
        <v>265</v>
      </c>
      <c r="B33" s="259">
        <v>929</v>
      </c>
      <c r="C33" s="259">
        <v>1368</v>
      </c>
      <c r="D33" s="259">
        <v>1081</v>
      </c>
      <c r="E33" s="259">
        <v>254</v>
      </c>
      <c r="F33" s="259">
        <v>381</v>
      </c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>
        <f t="shared" si="1"/>
        <v>4013</v>
      </c>
      <c r="W33" s="257">
        <v>0.27</v>
      </c>
      <c r="X33" s="259">
        <f t="shared" si="2"/>
        <v>5096.51</v>
      </c>
    </row>
    <row r="34" spans="1:24" ht="11.25">
      <c r="A34" s="256" t="s">
        <v>266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>
        <f t="shared" si="1"/>
        <v>0</v>
      </c>
      <c r="W34" s="257"/>
      <c r="X34" s="259">
        <f t="shared" si="2"/>
        <v>0</v>
      </c>
    </row>
    <row r="35" spans="1:24" ht="11.25">
      <c r="A35" s="256" t="s">
        <v>267</v>
      </c>
      <c r="B35" s="259"/>
      <c r="C35" s="259"/>
      <c r="D35" s="259"/>
      <c r="E35" s="259"/>
      <c r="F35" s="259"/>
      <c r="G35" s="259"/>
      <c r="H35" s="259"/>
      <c r="I35" s="259">
        <v>447</v>
      </c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>
        <f t="shared" si="1"/>
        <v>447</v>
      </c>
      <c r="W35" s="257">
        <v>0.30000000000000004</v>
      </c>
      <c r="X35" s="259">
        <f t="shared" si="2"/>
        <v>581.1</v>
      </c>
    </row>
    <row r="36" spans="1:24" ht="11.25">
      <c r="A36" s="256" t="s">
        <v>268</v>
      </c>
      <c r="B36" s="259">
        <v>615</v>
      </c>
      <c r="C36" s="259">
        <v>12185</v>
      </c>
      <c r="D36" s="259">
        <v>5230</v>
      </c>
      <c r="E36" s="259">
        <v>1360</v>
      </c>
      <c r="F36" s="259">
        <v>3950</v>
      </c>
      <c r="G36" s="259">
        <v>4388</v>
      </c>
      <c r="H36" s="259">
        <v>2737</v>
      </c>
      <c r="I36" s="259"/>
      <c r="J36" s="259">
        <v>2356</v>
      </c>
      <c r="K36" s="259">
        <v>6393</v>
      </c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>
        <f t="shared" si="1"/>
        <v>39214</v>
      </c>
      <c r="W36" s="257">
        <v>0.27222222222222203</v>
      </c>
      <c r="X36" s="259">
        <f t="shared" si="2"/>
        <v>49888.922222222216</v>
      </c>
    </row>
    <row r="37" spans="1:24" ht="11.25">
      <c r="A37" s="256" t="s">
        <v>269</v>
      </c>
      <c r="B37" s="259"/>
      <c r="C37" s="259"/>
      <c r="D37" s="259"/>
      <c r="E37" s="259">
        <v>336</v>
      </c>
      <c r="F37" s="259"/>
      <c r="G37" s="259">
        <v>141</v>
      </c>
      <c r="H37" s="259"/>
      <c r="I37" s="259"/>
      <c r="J37" s="259">
        <v>520</v>
      </c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>
        <f t="shared" si="1"/>
        <v>997</v>
      </c>
      <c r="W37" s="257">
        <v>0.2</v>
      </c>
      <c r="X37" s="259">
        <f t="shared" si="2"/>
        <v>1196.4</v>
      </c>
    </row>
    <row r="38" spans="1:24" ht="11.25">
      <c r="A38" s="261" t="s">
        <v>270</v>
      </c>
      <c r="B38" s="262">
        <f aca="true" t="shared" si="3" ref="B38:V38">SUM(B14:B37)</f>
        <v>6035</v>
      </c>
      <c r="C38" s="262">
        <f t="shared" si="3"/>
        <v>15151</v>
      </c>
      <c r="D38" s="262">
        <f t="shared" si="3"/>
        <v>10713</v>
      </c>
      <c r="E38" s="262">
        <f t="shared" si="3"/>
        <v>2100</v>
      </c>
      <c r="F38" s="262">
        <f t="shared" si="3"/>
        <v>10143</v>
      </c>
      <c r="G38" s="262">
        <f t="shared" si="3"/>
        <v>13458</v>
      </c>
      <c r="H38" s="262">
        <f t="shared" si="3"/>
        <v>8117</v>
      </c>
      <c r="I38" s="262">
        <f t="shared" si="3"/>
        <v>13766</v>
      </c>
      <c r="J38" s="262">
        <f t="shared" si="3"/>
        <v>3954</v>
      </c>
      <c r="K38" s="262">
        <f t="shared" si="3"/>
        <v>14928</v>
      </c>
      <c r="L38" s="262">
        <f t="shared" si="3"/>
        <v>0</v>
      </c>
      <c r="M38" s="262">
        <f t="shared" si="3"/>
        <v>0</v>
      </c>
      <c r="N38" s="262">
        <f t="shared" si="3"/>
        <v>0</v>
      </c>
      <c r="O38" s="262">
        <f t="shared" si="3"/>
        <v>0</v>
      </c>
      <c r="P38" s="262">
        <f t="shared" si="3"/>
        <v>0</v>
      </c>
      <c r="Q38" s="262">
        <f t="shared" si="3"/>
        <v>0</v>
      </c>
      <c r="R38" s="262">
        <f t="shared" si="3"/>
        <v>0</v>
      </c>
      <c r="S38" s="262">
        <f t="shared" si="3"/>
        <v>0</v>
      </c>
      <c r="T38" s="262">
        <f t="shared" si="3"/>
        <v>0</v>
      </c>
      <c r="U38" s="262">
        <f t="shared" si="3"/>
        <v>0</v>
      </c>
      <c r="V38" s="262">
        <f t="shared" si="3"/>
        <v>98365</v>
      </c>
      <c r="W38" s="263">
        <f>(X38-V38)/V38</f>
        <v>0.18884900342827451</v>
      </c>
      <c r="X38" s="262">
        <f>SUM(X14:X37)</f>
        <v>116941.13222222222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"/>
    </sheetView>
  </sheetViews>
  <sheetFormatPr defaultColWidth="7.83984375" defaultRowHeight="23.25"/>
  <cols>
    <col min="1" max="1" width="13.1484375" style="264" customWidth="1"/>
    <col min="2" max="2" width="8.69140625" style="264" customWidth="1"/>
    <col min="3" max="3" width="16.69140625" style="264" customWidth="1"/>
    <col min="4" max="4" width="11.30859375" style="264" customWidth="1"/>
    <col min="5" max="5" width="13.1484375" style="264" customWidth="1"/>
    <col min="6" max="6" width="12.83984375" style="264" customWidth="1"/>
    <col min="7" max="7" width="11.30859375" style="264" customWidth="1"/>
    <col min="8" max="9" width="14.69140625" style="264" customWidth="1"/>
    <col min="10" max="12" width="13.69140625" style="264" customWidth="1"/>
    <col min="13" max="13" width="16.69140625" style="264" customWidth="1"/>
    <col min="14" max="14" width="13.69140625" style="264" customWidth="1"/>
    <col min="15" max="15" width="16.69140625" style="264" customWidth="1"/>
    <col min="16" max="16384" width="7.83984375" style="264" customWidth="1"/>
  </cols>
  <sheetData>
    <row r="1" ht="16.5" customHeight="1">
      <c r="A1" s="265" t="s">
        <v>271</v>
      </c>
    </row>
    <row r="2" ht="16.5" customHeight="1">
      <c r="A2" s="266" t="s">
        <v>272</v>
      </c>
    </row>
    <row r="3" ht="16.5" customHeight="1">
      <c r="A3" s="266" t="s">
        <v>273</v>
      </c>
    </row>
    <row r="4" ht="16.5" customHeight="1">
      <c r="A4" s="266" t="s">
        <v>274</v>
      </c>
    </row>
    <row r="5" ht="16.5" customHeight="1">
      <c r="A5" s="266" t="s">
        <v>275</v>
      </c>
    </row>
    <row r="6" ht="16.5" customHeight="1">
      <c r="A6" s="266" t="s">
        <v>276</v>
      </c>
    </row>
    <row r="7" ht="16.5" customHeight="1">
      <c r="A7" s="266" t="s">
        <v>277</v>
      </c>
    </row>
    <row r="8" ht="16.5" customHeight="1">
      <c r="A8" s="266" t="s">
        <v>278</v>
      </c>
    </row>
    <row r="9" ht="16.5" customHeight="1">
      <c r="A9" s="266" t="s">
        <v>279</v>
      </c>
    </row>
    <row r="10" ht="16.5" customHeight="1">
      <c r="A10" s="266"/>
    </row>
    <row r="11" ht="16.5" customHeight="1">
      <c r="A11" s="265" t="s">
        <v>280</v>
      </c>
    </row>
    <row r="12" ht="16.5" customHeight="1">
      <c r="A12" s="266" t="s">
        <v>281</v>
      </c>
    </row>
    <row r="13" ht="16.5" customHeight="1">
      <c r="A13" s="264" t="s">
        <v>282</v>
      </c>
    </row>
    <row r="14" spans="1:11" ht="16.5" customHeight="1">
      <c r="A14" s="264" t="s">
        <v>283</v>
      </c>
      <c r="K14" s="267"/>
    </row>
    <row r="15" ht="16.5" customHeight="1">
      <c r="A15" s="266" t="s">
        <v>284</v>
      </c>
    </row>
    <row r="17" spans="1:15" ht="12.75">
      <c r="A17" s="268" t="s">
        <v>285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</row>
    <row r="18" spans="1:15" ht="12.75">
      <c r="A18" s="268" t="s">
        <v>286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</row>
    <row r="19" spans="1:15" ht="12.75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</row>
    <row r="20" spans="1:15" ht="12.75">
      <c r="A20" s="268" t="s">
        <v>287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</row>
    <row r="21" spans="1:15" ht="12.75">
      <c r="A21" s="346" t="s">
        <v>288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</row>
    <row r="22" spans="1:15" ht="12.75">
      <c r="A22" s="348" t="s">
        <v>289</v>
      </c>
      <c r="B22" s="348" t="s">
        <v>290</v>
      </c>
      <c r="C22" s="348" t="s">
        <v>291</v>
      </c>
      <c r="D22" s="348" t="s">
        <v>46</v>
      </c>
      <c r="E22" s="348" t="s">
        <v>292</v>
      </c>
      <c r="F22" s="348" t="s">
        <v>293</v>
      </c>
      <c r="G22" s="348" t="s">
        <v>294</v>
      </c>
      <c r="H22" s="345" t="s">
        <v>203</v>
      </c>
      <c r="I22" s="345"/>
      <c r="J22" s="345" t="s">
        <v>204</v>
      </c>
      <c r="K22" s="345"/>
      <c r="L22" s="345" t="s">
        <v>205</v>
      </c>
      <c r="M22" s="345"/>
      <c r="N22" s="345" t="s">
        <v>295</v>
      </c>
      <c r="O22" s="345"/>
    </row>
    <row r="23" spans="1:15" ht="12.75">
      <c r="A23" s="348"/>
      <c r="B23" s="348"/>
      <c r="C23" s="348"/>
      <c r="D23" s="348"/>
      <c r="E23" s="348"/>
      <c r="F23" s="348"/>
      <c r="G23" s="348"/>
      <c r="H23" s="270" t="s">
        <v>175</v>
      </c>
      <c r="I23" s="270" t="s">
        <v>176</v>
      </c>
      <c r="J23" s="270" t="s">
        <v>175</v>
      </c>
      <c r="K23" s="270" t="s">
        <v>176</v>
      </c>
      <c r="L23" s="270" t="s">
        <v>175</v>
      </c>
      <c r="M23" s="270" t="s">
        <v>176</v>
      </c>
      <c r="N23" s="270" t="s">
        <v>175</v>
      </c>
      <c r="O23" s="270" t="s">
        <v>176</v>
      </c>
    </row>
    <row r="24" spans="1:15" ht="12.75">
      <c r="A24" s="271">
        <v>7010</v>
      </c>
      <c r="B24" s="272" t="s">
        <v>296</v>
      </c>
      <c r="C24" s="272" t="s">
        <v>180</v>
      </c>
      <c r="D24" s="273"/>
      <c r="E24" s="272" t="s">
        <v>297</v>
      </c>
      <c r="F24" s="272" t="s">
        <v>298</v>
      </c>
      <c r="G24" s="272"/>
      <c r="H24" s="272" t="s">
        <v>299</v>
      </c>
      <c r="I24" s="272"/>
      <c r="J24" s="272"/>
      <c r="K24" s="272"/>
      <c r="L24" s="272"/>
      <c r="M24" s="272"/>
      <c r="N24" s="272"/>
      <c r="O24" s="272"/>
    </row>
    <row r="25" spans="1:15" ht="13.5" customHeight="1">
      <c r="A25" s="274">
        <v>7010</v>
      </c>
      <c r="B25" s="275" t="s">
        <v>296</v>
      </c>
      <c r="C25" s="276" t="s">
        <v>181</v>
      </c>
      <c r="D25" s="277"/>
      <c r="E25" s="275"/>
      <c r="F25" s="275"/>
      <c r="G25" s="275"/>
      <c r="H25" s="275" t="s">
        <v>300</v>
      </c>
      <c r="I25" s="275" t="s">
        <v>301</v>
      </c>
      <c r="J25" s="275" t="s">
        <v>302</v>
      </c>
      <c r="K25" s="275" t="s">
        <v>303</v>
      </c>
      <c r="L25" s="275" t="s">
        <v>302</v>
      </c>
      <c r="M25" s="275" t="s">
        <v>303</v>
      </c>
      <c r="N25" s="275" t="s">
        <v>302</v>
      </c>
      <c r="O25" s="275" t="s">
        <v>303</v>
      </c>
    </row>
    <row r="26" spans="1:15" ht="13.5" customHeight="1">
      <c r="A26" s="271">
        <v>7010</v>
      </c>
      <c r="B26" s="272" t="s">
        <v>296</v>
      </c>
      <c r="C26" s="278" t="s">
        <v>304</v>
      </c>
      <c r="D26" s="277"/>
      <c r="E26" s="272"/>
      <c r="F26" s="272"/>
      <c r="G26" s="272"/>
      <c r="H26" s="272" t="s">
        <v>300</v>
      </c>
      <c r="I26" s="272" t="s">
        <v>301</v>
      </c>
      <c r="J26" s="272" t="s">
        <v>305</v>
      </c>
      <c r="K26" s="272" t="s">
        <v>303</v>
      </c>
      <c r="L26" s="272" t="s">
        <v>305</v>
      </c>
      <c r="M26" s="272" t="s">
        <v>306</v>
      </c>
      <c r="N26" s="272" t="s">
        <v>305</v>
      </c>
      <c r="O26" s="272" t="s">
        <v>306</v>
      </c>
    </row>
    <row r="27" spans="1:15" ht="13.5" customHeight="1">
      <c r="A27" s="271">
        <v>7010</v>
      </c>
      <c r="B27" s="272" t="s">
        <v>296</v>
      </c>
      <c r="C27" s="278" t="s">
        <v>307</v>
      </c>
      <c r="D27" s="273"/>
      <c r="E27" s="272"/>
      <c r="F27" s="272"/>
      <c r="G27" s="272"/>
      <c r="H27" s="272" t="s">
        <v>300</v>
      </c>
      <c r="I27" s="272" t="s">
        <v>301</v>
      </c>
      <c r="J27" s="275" t="s">
        <v>302</v>
      </c>
      <c r="K27" s="275" t="s">
        <v>303</v>
      </c>
      <c r="L27" s="275" t="s">
        <v>302</v>
      </c>
      <c r="M27" s="275" t="s">
        <v>303</v>
      </c>
      <c r="N27" s="275" t="s">
        <v>302</v>
      </c>
      <c r="O27" s="272" t="s">
        <v>303</v>
      </c>
    </row>
    <row r="28" spans="1:15" ht="12.75">
      <c r="A28" s="269" t="s">
        <v>289</v>
      </c>
      <c r="B28" s="269" t="s">
        <v>290</v>
      </c>
      <c r="C28" s="279" t="s">
        <v>291</v>
      </c>
      <c r="D28" s="269" t="s">
        <v>308</v>
      </c>
      <c r="E28" s="280" t="s">
        <v>292</v>
      </c>
      <c r="F28" s="280" t="s">
        <v>293</v>
      </c>
      <c r="G28" s="280" t="s">
        <v>294</v>
      </c>
      <c r="H28" s="344" t="s">
        <v>203</v>
      </c>
      <c r="I28" s="344"/>
      <c r="J28" s="344" t="s">
        <v>204</v>
      </c>
      <c r="K28" s="344"/>
      <c r="L28" s="344" t="s">
        <v>205</v>
      </c>
      <c r="M28" s="344"/>
      <c r="N28" s="344" t="s">
        <v>295</v>
      </c>
      <c r="O28" s="344"/>
    </row>
    <row r="29" spans="1:15" ht="12.75">
      <c r="A29" s="281"/>
      <c r="B29" s="282"/>
      <c r="C29" s="283"/>
      <c r="D29" s="282"/>
      <c r="E29" s="282"/>
      <c r="F29" s="282"/>
      <c r="G29" s="282"/>
      <c r="H29" s="284" t="s">
        <v>175</v>
      </c>
      <c r="I29" s="284" t="s">
        <v>176</v>
      </c>
      <c r="J29" s="284" t="s">
        <v>175</v>
      </c>
      <c r="K29" s="284" t="s">
        <v>176</v>
      </c>
      <c r="L29" s="284" t="s">
        <v>175</v>
      </c>
      <c r="M29" s="284" t="s">
        <v>176</v>
      </c>
      <c r="N29" s="284" t="s">
        <v>175</v>
      </c>
      <c r="O29" s="284" t="s">
        <v>176</v>
      </c>
    </row>
    <row r="30" spans="1:15" ht="12.75">
      <c r="A30" s="285">
        <v>7010</v>
      </c>
      <c r="B30" s="286" t="s">
        <v>296</v>
      </c>
      <c r="C30" s="287" t="s">
        <v>181</v>
      </c>
      <c r="D30" s="285">
        <v>90</v>
      </c>
      <c r="E30" s="285">
        <v>518</v>
      </c>
      <c r="F30" s="285">
        <v>533</v>
      </c>
      <c r="G30" s="285">
        <v>1051</v>
      </c>
      <c r="H30" s="285">
        <v>243</v>
      </c>
      <c r="I30" s="285">
        <v>144</v>
      </c>
      <c r="J30" s="285">
        <v>94</v>
      </c>
      <c r="K30" s="285">
        <v>190</v>
      </c>
      <c r="L30" s="285">
        <v>20</v>
      </c>
      <c r="M30" s="285">
        <v>128</v>
      </c>
      <c r="N30" s="285">
        <v>161</v>
      </c>
      <c r="O30" s="285">
        <v>71</v>
      </c>
    </row>
    <row r="31" spans="1:15" ht="12.75">
      <c r="A31" s="285">
        <v>7010</v>
      </c>
      <c r="B31" s="286" t="s">
        <v>296</v>
      </c>
      <c r="C31" s="287" t="s">
        <v>309</v>
      </c>
      <c r="D31" s="285">
        <v>2</v>
      </c>
      <c r="E31" s="285">
        <v>12</v>
      </c>
      <c r="F31" s="285">
        <v>9</v>
      </c>
      <c r="G31" s="285">
        <v>21</v>
      </c>
      <c r="H31" s="285">
        <v>0</v>
      </c>
      <c r="I31" s="285">
        <v>5</v>
      </c>
      <c r="J31" s="285">
        <v>0</v>
      </c>
      <c r="K31" s="285">
        <v>4</v>
      </c>
      <c r="L31" s="285">
        <v>0</v>
      </c>
      <c r="M31" s="285">
        <v>0</v>
      </c>
      <c r="N31" s="285">
        <v>12</v>
      </c>
      <c r="O31" s="285">
        <v>0</v>
      </c>
    </row>
    <row r="32" spans="1:15" ht="12.75">
      <c r="A32" s="285"/>
      <c r="B32" s="286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</row>
    <row r="33" spans="1:15" ht="12.75">
      <c r="A33" s="268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</row>
    <row r="34" spans="1:15" ht="12.75">
      <c r="A34" s="346" t="s">
        <v>310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</row>
    <row r="35" spans="1:15" ht="12.75">
      <c r="A35" s="284" t="s">
        <v>289</v>
      </c>
      <c r="B35" s="284" t="s">
        <v>290</v>
      </c>
      <c r="C35" s="284" t="s">
        <v>291</v>
      </c>
      <c r="D35" s="284" t="s">
        <v>46</v>
      </c>
      <c r="E35" s="288" t="s">
        <v>292</v>
      </c>
      <c r="F35" s="288" t="s">
        <v>293</v>
      </c>
      <c r="G35" s="289" t="s">
        <v>294</v>
      </c>
      <c r="H35" s="347" t="s">
        <v>203</v>
      </c>
      <c r="I35" s="347"/>
      <c r="J35" s="347" t="s">
        <v>204</v>
      </c>
      <c r="K35" s="347"/>
      <c r="L35" s="347" t="s">
        <v>205</v>
      </c>
      <c r="M35" s="347"/>
      <c r="N35" s="347" t="s">
        <v>295</v>
      </c>
      <c r="O35" s="347"/>
    </row>
    <row r="36" spans="1:15" ht="12.75">
      <c r="A36" s="282"/>
      <c r="B36" s="282"/>
      <c r="C36" s="282"/>
      <c r="D36" s="290"/>
      <c r="E36" s="272"/>
      <c r="F36" s="272"/>
      <c r="G36" s="291"/>
      <c r="H36" s="284" t="s">
        <v>175</v>
      </c>
      <c r="I36" s="284" t="s">
        <v>176</v>
      </c>
      <c r="J36" s="284" t="s">
        <v>175</v>
      </c>
      <c r="K36" s="284" t="s">
        <v>176</v>
      </c>
      <c r="L36" s="284" t="s">
        <v>175</v>
      </c>
      <c r="M36" s="284" t="s">
        <v>176</v>
      </c>
      <c r="N36" s="284" t="s">
        <v>175</v>
      </c>
      <c r="O36" s="284" t="s">
        <v>176</v>
      </c>
    </row>
    <row r="37" spans="1:15" ht="12.75">
      <c r="A37" s="272">
        <v>7010</v>
      </c>
      <c r="B37" s="272" t="s">
        <v>296</v>
      </c>
      <c r="C37" s="272" t="s">
        <v>180</v>
      </c>
      <c r="D37" s="273"/>
      <c r="E37" s="272" t="s">
        <v>311</v>
      </c>
      <c r="F37" s="272" t="s">
        <v>298</v>
      </c>
      <c r="G37" s="292"/>
      <c r="H37" s="293"/>
      <c r="I37" s="294"/>
      <c r="J37" s="294"/>
      <c r="K37" s="294"/>
      <c r="L37" s="294"/>
      <c r="M37" s="294"/>
      <c r="N37" s="294"/>
      <c r="O37" s="294"/>
    </row>
    <row r="38" spans="1:15" ht="12.75">
      <c r="A38" s="268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</row>
    <row r="39" spans="1:15" ht="12.75">
      <c r="A39" s="268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</row>
    <row r="40" spans="1:15" ht="12.75">
      <c r="A40" s="268" t="s">
        <v>312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</row>
    <row r="41" spans="1:15" ht="12.75">
      <c r="A41" s="268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</row>
    <row r="42" spans="1:15" ht="12.75">
      <c r="A42" s="268" t="s">
        <v>313</v>
      </c>
      <c r="B42" s="268"/>
      <c r="C42" s="295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</row>
  </sheetData>
  <sheetProtection selectLockedCells="1" selectUnlockedCells="1"/>
  <mergeCells count="21">
    <mergeCell ref="G22:G23"/>
    <mergeCell ref="J28:K28"/>
    <mergeCell ref="J22:K22"/>
    <mergeCell ref="N28:O28"/>
    <mergeCell ref="A21:O21"/>
    <mergeCell ref="A22:A23"/>
    <mergeCell ref="B22:B23"/>
    <mergeCell ref="C22:C23"/>
    <mergeCell ref="D22:D23"/>
    <mergeCell ref="E22:E23"/>
    <mergeCell ref="F22:F23"/>
    <mergeCell ref="L28:M28"/>
    <mergeCell ref="H22:I22"/>
    <mergeCell ref="A34:O34"/>
    <mergeCell ref="H35:I35"/>
    <mergeCell ref="J35:K35"/>
    <mergeCell ref="L35:M35"/>
    <mergeCell ref="N35:O35"/>
    <mergeCell ref="L22:M22"/>
    <mergeCell ref="N22:O22"/>
    <mergeCell ref="H28:I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Nahirny Alves</dc:creator>
  <cp:keywords/>
  <dc:description/>
  <cp:lastModifiedBy>Larissa Nahirny Alves</cp:lastModifiedBy>
  <dcterms:created xsi:type="dcterms:W3CDTF">2021-05-03T17:43:19Z</dcterms:created>
  <dcterms:modified xsi:type="dcterms:W3CDTF">2022-02-11T19:07:03Z</dcterms:modified>
  <cp:category/>
  <cp:version/>
  <cp:contentType/>
  <cp:contentStatus/>
</cp:coreProperties>
</file>