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TORES\deral\DEB\VBP\VBP 2021\Formulários Bovinos\"/>
    </mc:Choice>
  </mc:AlternateContent>
  <bookViews>
    <workbookView xWindow="0" yWindow="0" windowWidth="24000" windowHeight="9630" tabRatio="500"/>
  </bookViews>
  <sheets>
    <sheet name="Bovinos" sheetId="1" r:id="rId1"/>
    <sheet name="Leite_-_Produção" sheetId="2" r:id="rId2"/>
    <sheet name="GTA" sheetId="3" r:id="rId3"/>
    <sheet name="OBSERVAÇÃO" sheetId="4" r:id="rId4"/>
  </sheets>
  <definedNames>
    <definedName name="Excel_BuiltIn_Print_Area" localSheetId="0">#REF!</definedName>
    <definedName name="Print_Area" localSheetId="0">#REF!</definedName>
    <definedName name="Print_Titles" localSheetId="0">#REF!</definedName>
    <definedName name="SHARED_FORMULA_17_102_17_102_1" localSheetId="2">+!$S$5</definedName>
    <definedName name="SHARED_FORMULA_17_102_17_102_1" localSheetId="3">+!$S$5</definedName>
    <definedName name="SHARED_FORMULA_17_102_17_102_1">NA()</definedName>
    <definedName name="SHARED_FORMULA_17_134_17_134_1" localSheetId="2">+!$S$5</definedName>
    <definedName name="SHARED_FORMULA_17_134_17_134_1" localSheetId="3">+!$S$5</definedName>
    <definedName name="SHARED_FORMULA_17_134_17_134_1">NA()</definedName>
    <definedName name="SHARED_FORMULA_17_166_17_166_1" localSheetId="2">+!$S$5</definedName>
    <definedName name="SHARED_FORMULA_17_166_17_166_1" localSheetId="3">+!$S$5</definedName>
    <definedName name="SHARED_FORMULA_17_166_17_166_1">NA()</definedName>
    <definedName name="SHARED_FORMULA_17_232_17_232_1" localSheetId="2">+!$S$5</definedName>
    <definedName name="SHARED_FORMULA_17_232_17_232_1" localSheetId="3">+!$S$5</definedName>
    <definedName name="SHARED_FORMULA_17_232_17_232_1">NA()</definedName>
    <definedName name="SHARED_FORMULA_17_246_17_246_1" localSheetId="2">+!$S$5</definedName>
    <definedName name="SHARED_FORMULA_17_246_17_246_1" localSheetId="3">+!$S$5</definedName>
    <definedName name="SHARED_FORMULA_17_246_17_246_1">NA()</definedName>
    <definedName name="SHARED_FORMULA_17_310_17_310_1" localSheetId="2">+!$S$5</definedName>
    <definedName name="SHARED_FORMULA_17_310_17_310_1" localSheetId="3">+!$S$5</definedName>
    <definedName name="SHARED_FORMULA_17_310_17_310_1">NA()</definedName>
    <definedName name="SHARED_FORMULA_17_38_17_38_1" localSheetId="2">+!$S$5</definedName>
    <definedName name="SHARED_FORMULA_17_38_17_38_1" localSheetId="3">+!$S$5</definedName>
    <definedName name="SHARED_FORMULA_17_38_17_38_1">NA()</definedName>
    <definedName name="SHARED_FORMULA_17_6_17_6_1" localSheetId="2">+!$S$5</definedName>
    <definedName name="SHARED_FORMULA_17_6_17_6_1" localSheetId="3">+!$S$5</definedName>
    <definedName name="SHARED_FORMULA_17_6_17_6_1">NA()</definedName>
    <definedName name="SHARED_FORMULA_17_70_17_70_1" localSheetId="2">+!$S$5</definedName>
    <definedName name="SHARED_FORMULA_17_70_17_70_1" localSheetId="3">+!$S$5</definedName>
    <definedName name="SHARED_FORMULA_17_70_17_70_1">NA()</definedName>
    <definedName name="SHARED_FORMULA_18_113_18_113_1" localSheetId="2">+!S113</definedName>
    <definedName name="SHARED_FORMULA_18_113_18_113_1" localSheetId="3">+!S113</definedName>
    <definedName name="SHARED_FORMULA_18_113_18_113_1">NA()</definedName>
    <definedName name="SHARED_FORMULA_18_128_18_128_1" localSheetId="2">+!S128</definedName>
    <definedName name="SHARED_FORMULA_18_128_18_128_1" localSheetId="3">+!S128</definedName>
    <definedName name="SHARED_FORMULA_18_128_18_128_1">NA()</definedName>
    <definedName name="SHARED_FORMULA_18_143_18_143_1" localSheetId="2">+!S143</definedName>
    <definedName name="SHARED_FORMULA_18_143_18_143_1" localSheetId="3">+!S143</definedName>
    <definedName name="SHARED_FORMULA_18_143_18_143_1">NA()</definedName>
    <definedName name="SHARED_FORMULA_18_158_18_158_1" localSheetId="2">+!S158</definedName>
    <definedName name="SHARED_FORMULA_18_158_18_158_1" localSheetId="3">+!S158</definedName>
    <definedName name="SHARED_FORMULA_18_158_18_158_1">NA()</definedName>
    <definedName name="SHARED_FORMULA_18_173_18_173_1" localSheetId="2">+!S173</definedName>
    <definedName name="SHARED_FORMULA_18_173_18_173_1" localSheetId="3">+!S173</definedName>
    <definedName name="SHARED_FORMULA_18_173_18_173_1">NA()</definedName>
    <definedName name="SHARED_FORMULA_18_188_18_188_1" localSheetId="2">+!S188</definedName>
    <definedName name="SHARED_FORMULA_18_188_18_188_1" localSheetId="3">+!S188</definedName>
    <definedName name="SHARED_FORMULA_18_188_18_188_1">NA()</definedName>
    <definedName name="SHARED_FORMULA_18_203_18_203_1" localSheetId="2">+!S203</definedName>
    <definedName name="SHARED_FORMULA_18_203_18_203_1" localSheetId="3">+!S203</definedName>
    <definedName name="SHARED_FORMULA_18_203_18_203_1">NA()</definedName>
    <definedName name="SHARED_FORMULA_18_218_18_218_1" localSheetId="2">+!S218</definedName>
    <definedName name="SHARED_FORMULA_18_218_18_218_1" localSheetId="3">+!S218</definedName>
    <definedName name="SHARED_FORMULA_18_218_18_218_1">NA()</definedName>
    <definedName name="SHARED_FORMULA_18_23_18_23_1" localSheetId="2">+!S23</definedName>
    <definedName name="SHARED_FORMULA_18_23_18_23_1" localSheetId="3">+!S23</definedName>
    <definedName name="SHARED_FORMULA_18_23_18_23_1">NA()</definedName>
    <definedName name="SHARED_FORMULA_18_233_18_233_1" localSheetId="2">+!S233</definedName>
    <definedName name="SHARED_FORMULA_18_233_18_233_1" localSheetId="3">+!S233</definedName>
    <definedName name="SHARED_FORMULA_18_233_18_233_1">NA()</definedName>
    <definedName name="SHARED_FORMULA_18_248_18_248_1" localSheetId="2">+!S248</definedName>
    <definedName name="SHARED_FORMULA_18_248_18_248_1" localSheetId="3">+!S248</definedName>
    <definedName name="SHARED_FORMULA_18_248_18_248_1">NA()</definedName>
    <definedName name="SHARED_FORMULA_18_263_18_263_1" localSheetId="2">+!S263</definedName>
    <definedName name="SHARED_FORMULA_18_263_18_263_1" localSheetId="3">+!S263</definedName>
    <definedName name="SHARED_FORMULA_18_263_18_263_1">NA()</definedName>
    <definedName name="SHARED_FORMULA_18_278_18_278_1" localSheetId="2">+!S278</definedName>
    <definedName name="SHARED_FORMULA_18_278_18_278_1" localSheetId="3">+!S278</definedName>
    <definedName name="SHARED_FORMULA_18_278_18_278_1">NA()</definedName>
    <definedName name="SHARED_FORMULA_18_293_18_293_1" localSheetId="2">+!S293</definedName>
    <definedName name="SHARED_FORMULA_18_293_18_293_1" localSheetId="3">+!S293</definedName>
    <definedName name="SHARED_FORMULA_18_293_18_293_1">NA()</definedName>
    <definedName name="SHARED_FORMULA_18_308_18_308_1" localSheetId="2">+!S308</definedName>
    <definedName name="SHARED_FORMULA_18_308_18_308_1" localSheetId="3">+!S308</definedName>
    <definedName name="SHARED_FORMULA_18_308_18_308_1">NA()</definedName>
    <definedName name="SHARED_FORMULA_18_323_18_323_1" localSheetId="2">+!S323</definedName>
    <definedName name="SHARED_FORMULA_18_323_18_323_1" localSheetId="3">+!S323</definedName>
    <definedName name="SHARED_FORMULA_18_323_18_323_1">NA()</definedName>
    <definedName name="SHARED_FORMULA_18_338_18_338_1" localSheetId="2">+!S338</definedName>
    <definedName name="SHARED_FORMULA_18_338_18_338_1" localSheetId="3">+!S338</definedName>
    <definedName name="SHARED_FORMULA_18_338_18_338_1">NA()</definedName>
    <definedName name="SHARED_FORMULA_18_353_18_353_1" localSheetId="2">+!S353</definedName>
    <definedName name="SHARED_FORMULA_18_353_18_353_1" localSheetId="3">+!S353</definedName>
    <definedName name="SHARED_FORMULA_18_353_18_353_1">NA()</definedName>
    <definedName name="SHARED_FORMULA_18_368_18_368_1" localSheetId="2">+!S368</definedName>
    <definedName name="SHARED_FORMULA_18_368_18_368_1" localSheetId="3">+!S368</definedName>
    <definedName name="SHARED_FORMULA_18_368_18_368_1">NA()</definedName>
    <definedName name="SHARED_FORMULA_18_38_18_38_1">+!S38</definedName>
    <definedName name="SHARED_FORMULA_18_53_18_53_1" localSheetId="2">+!S53</definedName>
    <definedName name="SHARED_FORMULA_18_53_18_53_1" localSheetId="3">+!S53</definedName>
    <definedName name="SHARED_FORMULA_18_53_18_53_1">NA()</definedName>
    <definedName name="SHARED_FORMULA_18_68_18_68_1" localSheetId="2">+!S68</definedName>
    <definedName name="SHARED_FORMULA_18_68_18_68_1" localSheetId="3">+!S68</definedName>
    <definedName name="SHARED_FORMULA_18_68_18_68_1">NA()</definedName>
    <definedName name="SHARED_FORMULA_18_8_18_8_1" localSheetId="2">+!S8</definedName>
    <definedName name="SHARED_FORMULA_18_8_18_8_1" localSheetId="3">+!S8</definedName>
    <definedName name="SHARED_FORMULA_18_8_18_8_1">NA()</definedName>
    <definedName name="SHARED_FORMULA_18_83_18_83_1" localSheetId="2">+!S83</definedName>
    <definedName name="SHARED_FORMULA_18_83_18_83_1" localSheetId="3">+!S83</definedName>
    <definedName name="SHARED_FORMULA_18_83_18_83_1">NA()</definedName>
    <definedName name="SHARED_FORMULA_18_98_18_98_1" localSheetId="2">+!S98</definedName>
    <definedName name="SHARED_FORMULA_18_98_18_98_1" localSheetId="3">+!S98</definedName>
    <definedName name="SHARED_FORMULA_18_98_18_98_1">NA()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9" i="2" l="1"/>
  <c r="B19" i="2"/>
  <c r="G18" i="2"/>
  <c r="F18" i="2"/>
  <c r="E18" i="2"/>
  <c r="D18" i="2"/>
  <c r="G17" i="2"/>
  <c r="F17" i="2"/>
  <c r="E17" i="2"/>
  <c r="D17" i="2"/>
  <c r="G16" i="2"/>
  <c r="F16" i="2"/>
  <c r="E16" i="2"/>
  <c r="D16" i="2"/>
  <c r="G15" i="2"/>
  <c r="F15" i="2"/>
  <c r="D15" i="2"/>
  <c r="F14" i="2"/>
  <c r="E14" i="2"/>
  <c r="D14" i="2"/>
  <c r="G13" i="2"/>
  <c r="F13" i="2"/>
  <c r="E13" i="2"/>
  <c r="G12" i="2"/>
  <c r="E12" i="2"/>
  <c r="D12" i="2"/>
  <c r="G11" i="2"/>
  <c r="F11" i="2"/>
  <c r="E11" i="2"/>
  <c r="G10" i="2"/>
  <c r="E10" i="2"/>
  <c r="D10" i="2"/>
  <c r="G9" i="2"/>
  <c r="F9" i="2"/>
  <c r="E9" i="2"/>
  <c r="V181" i="1"/>
  <c r="S181" i="1"/>
  <c r="D181" i="1"/>
  <c r="C181" i="1"/>
  <c r="B181" i="1"/>
  <c r="Y180" i="1"/>
  <c r="S180" i="1"/>
  <c r="E180" i="1"/>
  <c r="D180" i="1"/>
  <c r="C180" i="1"/>
  <c r="B180" i="1"/>
  <c r="Y179" i="1"/>
  <c r="S179" i="1"/>
  <c r="N179" i="1"/>
  <c r="M179" i="1"/>
  <c r="L179" i="1"/>
  <c r="O179" i="1" s="1"/>
  <c r="D179" i="1"/>
  <c r="C179" i="1"/>
  <c r="B179" i="1"/>
  <c r="E179" i="1" s="1"/>
  <c r="Y178" i="1"/>
  <c r="S178" i="1"/>
  <c r="R178" i="1"/>
  <c r="Y177" i="1"/>
  <c r="S177" i="1"/>
  <c r="R177" i="1"/>
  <c r="Y176" i="1"/>
  <c r="S176" i="1"/>
  <c r="Y175" i="1"/>
  <c r="S175" i="1"/>
  <c r="Y174" i="1"/>
  <c r="S174" i="1"/>
  <c r="Y173" i="1"/>
  <c r="S173" i="1"/>
  <c r="Y172" i="1"/>
  <c r="S172" i="1"/>
  <c r="Y171" i="1"/>
  <c r="X171" i="1"/>
  <c r="S171" i="1"/>
  <c r="Q171" i="1"/>
  <c r="B171" i="1"/>
  <c r="Y170" i="1"/>
  <c r="X170" i="1"/>
  <c r="S170" i="1"/>
  <c r="Y169" i="1"/>
  <c r="X169" i="1"/>
  <c r="W169" i="1"/>
  <c r="S169" i="1"/>
  <c r="W168" i="1"/>
  <c r="T168" i="1"/>
  <c r="T169" i="1" s="1"/>
  <c r="T170" i="1" s="1"/>
  <c r="T171" i="1" s="1"/>
  <c r="T172" i="1" s="1"/>
  <c r="T173" i="1" s="1"/>
  <c r="T174" i="1" s="1"/>
  <c r="T175" i="1" s="1"/>
  <c r="T176" i="1" s="1"/>
  <c r="T177" i="1" s="1"/>
  <c r="T178" i="1" s="1"/>
  <c r="T179" i="1" s="1"/>
  <c r="T180" i="1" s="1"/>
  <c r="T181" i="1" s="1"/>
  <c r="S168" i="1"/>
  <c r="T167" i="1"/>
  <c r="S167" i="1"/>
  <c r="V165" i="1"/>
  <c r="S165" i="1"/>
  <c r="F165" i="1"/>
  <c r="D165" i="1"/>
  <c r="C165" i="1"/>
  <c r="Y164" i="1"/>
  <c r="S164" i="1"/>
  <c r="F164" i="1"/>
  <c r="D164" i="1"/>
  <c r="B165" i="1" s="1"/>
  <c r="C164" i="1"/>
  <c r="B164" i="1"/>
  <c r="Y163" i="1"/>
  <c r="S163" i="1"/>
  <c r="O163" i="1"/>
  <c r="N163" i="1"/>
  <c r="M163" i="1"/>
  <c r="L163" i="1"/>
  <c r="E163" i="1"/>
  <c r="D163" i="1"/>
  <c r="C163" i="1"/>
  <c r="B163" i="1"/>
  <c r="Y162" i="1"/>
  <c r="S162" i="1"/>
  <c r="R162" i="1"/>
  <c r="J162" i="1"/>
  <c r="Y161" i="1"/>
  <c r="S161" i="1"/>
  <c r="R161" i="1"/>
  <c r="J161" i="1"/>
  <c r="Y160" i="1"/>
  <c r="S160" i="1"/>
  <c r="Y159" i="1"/>
  <c r="S159" i="1"/>
  <c r="Y158" i="1"/>
  <c r="S158" i="1"/>
  <c r="Y157" i="1"/>
  <c r="S157" i="1"/>
  <c r="Y156" i="1"/>
  <c r="S156" i="1"/>
  <c r="F156" i="1"/>
  <c r="E156" i="1"/>
  <c r="D156" i="1"/>
  <c r="C156" i="1"/>
  <c r="Y155" i="1"/>
  <c r="X155" i="1"/>
  <c r="T155" i="1"/>
  <c r="T156" i="1" s="1"/>
  <c r="T157" i="1" s="1"/>
  <c r="T158" i="1" s="1"/>
  <c r="T159" i="1" s="1"/>
  <c r="T160" i="1" s="1"/>
  <c r="T161" i="1" s="1"/>
  <c r="T162" i="1" s="1"/>
  <c r="T163" i="1" s="1"/>
  <c r="T164" i="1" s="1"/>
  <c r="T165" i="1" s="1"/>
  <c r="S155" i="1"/>
  <c r="Q155" i="1"/>
  <c r="K155" i="1"/>
  <c r="G155" i="1"/>
  <c r="Y154" i="1"/>
  <c r="X154" i="1"/>
  <c r="S154" i="1"/>
  <c r="Y153" i="1"/>
  <c r="X153" i="1"/>
  <c r="W153" i="1"/>
  <c r="T153" i="1"/>
  <c r="T154" i="1" s="1"/>
  <c r="S153" i="1"/>
  <c r="W152" i="1"/>
  <c r="T152" i="1"/>
  <c r="S152" i="1"/>
  <c r="W151" i="1"/>
  <c r="T151" i="1"/>
  <c r="S151" i="1"/>
  <c r="V149" i="1"/>
  <c r="S149" i="1"/>
  <c r="F149" i="1"/>
  <c r="E149" i="1"/>
  <c r="D149" i="1"/>
  <c r="B149" i="1"/>
  <c r="Y148" i="1"/>
  <c r="S148" i="1"/>
  <c r="F148" i="1"/>
  <c r="E148" i="1"/>
  <c r="D148" i="1"/>
  <c r="C149" i="1" s="1"/>
  <c r="C148" i="1"/>
  <c r="B148" i="1"/>
  <c r="Y147" i="1"/>
  <c r="S147" i="1"/>
  <c r="O147" i="1"/>
  <c r="E147" i="1"/>
  <c r="D147" i="1"/>
  <c r="C147" i="1"/>
  <c r="B147" i="1"/>
  <c r="Y146" i="1"/>
  <c r="S146" i="1"/>
  <c r="R146" i="1"/>
  <c r="J146" i="1"/>
  <c r="Y145" i="1"/>
  <c r="S145" i="1"/>
  <c r="R145" i="1"/>
  <c r="J145" i="1"/>
  <c r="Y144" i="1"/>
  <c r="S144" i="1"/>
  <c r="Y143" i="1"/>
  <c r="S143" i="1"/>
  <c r="Y142" i="1"/>
  <c r="S142" i="1"/>
  <c r="Y141" i="1"/>
  <c r="S141" i="1"/>
  <c r="Y140" i="1"/>
  <c r="S140" i="1"/>
  <c r="F140" i="1"/>
  <c r="E140" i="1"/>
  <c r="D140" i="1"/>
  <c r="C140" i="1"/>
  <c r="Y139" i="1"/>
  <c r="X139" i="1"/>
  <c r="T139" i="1"/>
  <c r="T140" i="1" s="1"/>
  <c r="T141" i="1" s="1"/>
  <c r="T142" i="1" s="1"/>
  <c r="T143" i="1" s="1"/>
  <c r="T144" i="1" s="1"/>
  <c r="T145" i="1" s="1"/>
  <c r="T146" i="1" s="1"/>
  <c r="T147" i="1" s="1"/>
  <c r="T148" i="1" s="1"/>
  <c r="T149" i="1" s="1"/>
  <c r="S139" i="1"/>
  <c r="Q139" i="1"/>
  <c r="K139" i="1"/>
  <c r="G139" i="1"/>
  <c r="Y138" i="1"/>
  <c r="X138" i="1"/>
  <c r="T138" i="1"/>
  <c r="S138" i="1"/>
  <c r="Y137" i="1"/>
  <c r="X137" i="1"/>
  <c r="W137" i="1"/>
  <c r="T137" i="1"/>
  <c r="S137" i="1"/>
  <c r="W136" i="1"/>
  <c r="T136" i="1"/>
  <c r="S136" i="1"/>
  <c r="W135" i="1"/>
  <c r="T135" i="1"/>
  <c r="S135" i="1"/>
  <c r="V133" i="1"/>
  <c r="S133" i="1"/>
  <c r="F133" i="1"/>
  <c r="E133" i="1"/>
  <c r="D133" i="1"/>
  <c r="C133" i="1"/>
  <c r="B133" i="1"/>
  <c r="Y132" i="1"/>
  <c r="S132" i="1"/>
  <c r="F132" i="1"/>
  <c r="E132" i="1"/>
  <c r="D132" i="1"/>
  <c r="C132" i="1"/>
  <c r="B132" i="1"/>
  <c r="Y131" i="1"/>
  <c r="S131" i="1"/>
  <c r="O131" i="1"/>
  <c r="E131" i="1"/>
  <c r="D131" i="1"/>
  <c r="C131" i="1"/>
  <c r="B131" i="1"/>
  <c r="Y130" i="1"/>
  <c r="S130" i="1"/>
  <c r="R130" i="1"/>
  <c r="J130" i="1"/>
  <c r="Y129" i="1"/>
  <c r="S129" i="1"/>
  <c r="R129" i="1"/>
  <c r="J129" i="1"/>
  <c r="Y128" i="1"/>
  <c r="S128" i="1"/>
  <c r="Y127" i="1"/>
  <c r="S127" i="1"/>
  <c r="Y126" i="1"/>
  <c r="S126" i="1"/>
  <c r="Y125" i="1"/>
  <c r="S125" i="1"/>
  <c r="Y124" i="1"/>
  <c r="S124" i="1"/>
  <c r="F124" i="1"/>
  <c r="E124" i="1"/>
  <c r="D124" i="1"/>
  <c r="C124" i="1"/>
  <c r="Y123" i="1"/>
  <c r="X123" i="1"/>
  <c r="S123" i="1"/>
  <c r="Q123" i="1"/>
  <c r="K123" i="1"/>
  <c r="G123" i="1"/>
  <c r="Y122" i="1"/>
  <c r="X122" i="1"/>
  <c r="S122" i="1"/>
  <c r="Y121" i="1"/>
  <c r="X121" i="1"/>
  <c r="W121" i="1"/>
  <c r="S121" i="1"/>
  <c r="W120" i="1"/>
  <c r="T120" i="1"/>
  <c r="T121" i="1" s="1"/>
  <c r="T122" i="1" s="1"/>
  <c r="T123" i="1" s="1"/>
  <c r="T124" i="1" s="1"/>
  <c r="T125" i="1" s="1"/>
  <c r="T126" i="1" s="1"/>
  <c r="T127" i="1" s="1"/>
  <c r="T128" i="1" s="1"/>
  <c r="T129" i="1" s="1"/>
  <c r="T130" i="1" s="1"/>
  <c r="T131" i="1" s="1"/>
  <c r="T132" i="1" s="1"/>
  <c r="T133" i="1" s="1"/>
  <c r="S120" i="1"/>
  <c r="W119" i="1"/>
  <c r="T119" i="1"/>
  <c r="S119" i="1"/>
  <c r="V117" i="1"/>
  <c r="S117" i="1"/>
  <c r="F117" i="1"/>
  <c r="D117" i="1"/>
  <c r="C117" i="1"/>
  <c r="Y116" i="1"/>
  <c r="S116" i="1"/>
  <c r="F116" i="1"/>
  <c r="D116" i="1"/>
  <c r="B117" i="1" s="1"/>
  <c r="C116" i="1"/>
  <c r="B116" i="1"/>
  <c r="Y115" i="1"/>
  <c r="S115" i="1"/>
  <c r="O115" i="1"/>
  <c r="N115" i="1"/>
  <c r="M115" i="1"/>
  <c r="L115" i="1"/>
  <c r="E115" i="1"/>
  <c r="D115" i="1"/>
  <c r="C115" i="1"/>
  <c r="B115" i="1"/>
  <c r="Y114" i="1"/>
  <c r="S114" i="1"/>
  <c r="R114" i="1"/>
  <c r="J114" i="1"/>
  <c r="Y113" i="1"/>
  <c r="S113" i="1"/>
  <c r="R113" i="1"/>
  <c r="J113" i="1"/>
  <c r="Y112" i="1"/>
  <c r="S112" i="1"/>
  <c r="Y111" i="1"/>
  <c r="S111" i="1"/>
  <c r="Y110" i="1"/>
  <c r="S110" i="1"/>
  <c r="Y109" i="1"/>
  <c r="S109" i="1"/>
  <c r="Y108" i="1"/>
  <c r="S108" i="1"/>
  <c r="F108" i="1"/>
  <c r="E108" i="1"/>
  <c r="D108" i="1"/>
  <c r="C108" i="1"/>
  <c r="Y107" i="1"/>
  <c r="X107" i="1"/>
  <c r="T107" i="1"/>
  <c r="T108" i="1" s="1"/>
  <c r="T109" i="1" s="1"/>
  <c r="T110" i="1" s="1"/>
  <c r="T111" i="1" s="1"/>
  <c r="T112" i="1" s="1"/>
  <c r="T113" i="1" s="1"/>
  <c r="T114" i="1" s="1"/>
  <c r="T115" i="1" s="1"/>
  <c r="T116" i="1" s="1"/>
  <c r="T117" i="1" s="1"/>
  <c r="S107" i="1"/>
  <c r="Q107" i="1"/>
  <c r="K107" i="1"/>
  <c r="G107" i="1"/>
  <c r="Y106" i="1"/>
  <c r="X106" i="1"/>
  <c r="S106" i="1"/>
  <c r="Y105" i="1"/>
  <c r="X105" i="1"/>
  <c r="W105" i="1"/>
  <c r="T105" i="1"/>
  <c r="T106" i="1" s="1"/>
  <c r="S105" i="1"/>
  <c r="W104" i="1"/>
  <c r="T104" i="1"/>
  <c r="S104" i="1"/>
  <c r="W103" i="1"/>
  <c r="T103" i="1"/>
  <c r="S103" i="1"/>
  <c r="V101" i="1"/>
  <c r="S101" i="1"/>
  <c r="F101" i="1"/>
  <c r="E101" i="1"/>
  <c r="D101" i="1"/>
  <c r="B101" i="1"/>
  <c r="Y100" i="1"/>
  <c r="S100" i="1"/>
  <c r="F100" i="1"/>
  <c r="E100" i="1"/>
  <c r="D100" i="1"/>
  <c r="C101" i="1" s="1"/>
  <c r="C100" i="1"/>
  <c r="B100" i="1"/>
  <c r="Y99" i="1"/>
  <c r="S99" i="1"/>
  <c r="N99" i="1"/>
  <c r="O99" i="1" s="1"/>
  <c r="M99" i="1"/>
  <c r="L99" i="1"/>
  <c r="D99" i="1"/>
  <c r="E99" i="1" s="1"/>
  <c r="C99" i="1"/>
  <c r="B99" i="1"/>
  <c r="Y98" i="1"/>
  <c r="S98" i="1"/>
  <c r="R98" i="1"/>
  <c r="J98" i="1"/>
  <c r="Y97" i="1"/>
  <c r="S97" i="1"/>
  <c r="R97" i="1"/>
  <c r="J97" i="1"/>
  <c r="J177" i="1" s="1"/>
  <c r="Y96" i="1"/>
  <c r="S96" i="1"/>
  <c r="Y95" i="1"/>
  <c r="S95" i="1"/>
  <c r="Y94" i="1"/>
  <c r="T94" i="1"/>
  <c r="T95" i="1" s="1"/>
  <c r="T96" i="1" s="1"/>
  <c r="T97" i="1" s="1"/>
  <c r="T98" i="1" s="1"/>
  <c r="T99" i="1" s="1"/>
  <c r="T100" i="1" s="1"/>
  <c r="T101" i="1" s="1"/>
  <c r="S94" i="1"/>
  <c r="Y93" i="1"/>
  <c r="S93" i="1"/>
  <c r="Y92" i="1"/>
  <c r="S92" i="1"/>
  <c r="F92" i="1"/>
  <c r="E92" i="1"/>
  <c r="D92" i="1"/>
  <c r="C92" i="1"/>
  <c r="Y91" i="1"/>
  <c r="X91" i="1"/>
  <c r="S91" i="1"/>
  <c r="K91" i="1"/>
  <c r="Y90" i="1"/>
  <c r="X90" i="1"/>
  <c r="S90" i="1"/>
  <c r="Y89" i="1"/>
  <c r="X89" i="1"/>
  <c r="W89" i="1"/>
  <c r="S89" i="1"/>
  <c r="W88" i="1"/>
  <c r="S88" i="1"/>
  <c r="W87" i="1"/>
  <c r="T87" i="1"/>
  <c r="T88" i="1" s="1"/>
  <c r="T89" i="1" s="1"/>
  <c r="T90" i="1" s="1"/>
  <c r="T91" i="1" s="1"/>
  <c r="T92" i="1" s="1"/>
  <c r="T93" i="1" s="1"/>
  <c r="S87" i="1"/>
  <c r="V85" i="1"/>
  <c r="S85" i="1"/>
  <c r="D85" i="1"/>
  <c r="Y84" i="1"/>
  <c r="S84" i="1"/>
  <c r="F84" i="1"/>
  <c r="C84" i="1"/>
  <c r="B84" i="1"/>
  <c r="D84" i="1" s="1"/>
  <c r="B85" i="1" s="1"/>
  <c r="Y83" i="1"/>
  <c r="S83" i="1"/>
  <c r="O83" i="1"/>
  <c r="N83" i="1"/>
  <c r="M83" i="1"/>
  <c r="L83" i="1"/>
  <c r="E83" i="1"/>
  <c r="D83" i="1"/>
  <c r="C83" i="1"/>
  <c r="B83" i="1"/>
  <c r="Y82" i="1"/>
  <c r="S82" i="1"/>
  <c r="R82" i="1"/>
  <c r="J82" i="1"/>
  <c r="Y81" i="1"/>
  <c r="S81" i="1"/>
  <c r="R81" i="1"/>
  <c r="J81" i="1"/>
  <c r="Y80" i="1"/>
  <c r="S80" i="1"/>
  <c r="Y79" i="1"/>
  <c r="S79" i="1"/>
  <c r="Y78" i="1"/>
  <c r="S78" i="1"/>
  <c r="Y77" i="1"/>
  <c r="S77" i="1"/>
  <c r="Y76" i="1"/>
  <c r="S76" i="1"/>
  <c r="F76" i="1"/>
  <c r="E76" i="1"/>
  <c r="D76" i="1"/>
  <c r="C76" i="1"/>
  <c r="D13" i="2" s="1"/>
  <c r="Y75" i="1"/>
  <c r="X75" i="1"/>
  <c r="T75" i="1"/>
  <c r="T76" i="1" s="1"/>
  <c r="T77" i="1" s="1"/>
  <c r="T78" i="1" s="1"/>
  <c r="T79" i="1" s="1"/>
  <c r="T80" i="1" s="1"/>
  <c r="T81" i="1" s="1"/>
  <c r="T82" i="1" s="1"/>
  <c r="T83" i="1" s="1"/>
  <c r="T84" i="1" s="1"/>
  <c r="T85" i="1" s="1"/>
  <c r="S75" i="1"/>
  <c r="Q75" i="1"/>
  <c r="K75" i="1"/>
  <c r="Y74" i="1"/>
  <c r="X74" i="1"/>
  <c r="T74" i="1"/>
  <c r="S74" i="1"/>
  <c r="Y73" i="1"/>
  <c r="X73" i="1"/>
  <c r="W73" i="1"/>
  <c r="T73" i="1"/>
  <c r="S73" i="1"/>
  <c r="W72" i="1"/>
  <c r="T72" i="1"/>
  <c r="S72" i="1"/>
  <c r="W71" i="1"/>
  <c r="T71" i="1"/>
  <c r="S71" i="1"/>
  <c r="V69" i="1"/>
  <c r="S69" i="1"/>
  <c r="F69" i="1"/>
  <c r="D69" i="1"/>
  <c r="Y68" i="1"/>
  <c r="S68" i="1"/>
  <c r="D68" i="1"/>
  <c r="C68" i="1"/>
  <c r="B68" i="1"/>
  <c r="Y67" i="1"/>
  <c r="S67" i="1"/>
  <c r="N67" i="1"/>
  <c r="M67" i="1"/>
  <c r="O67" i="1" s="1"/>
  <c r="L67" i="1"/>
  <c r="D67" i="1"/>
  <c r="C67" i="1"/>
  <c r="E67" i="1" s="1"/>
  <c r="B67" i="1"/>
  <c r="Y66" i="1"/>
  <c r="S66" i="1"/>
  <c r="R66" i="1"/>
  <c r="J66" i="1"/>
  <c r="Y65" i="1"/>
  <c r="T65" i="1"/>
  <c r="T66" i="1" s="1"/>
  <c r="T67" i="1" s="1"/>
  <c r="T68" i="1" s="1"/>
  <c r="T69" i="1" s="1"/>
  <c r="S65" i="1"/>
  <c r="R65" i="1"/>
  <c r="J65" i="1"/>
  <c r="Y64" i="1"/>
  <c r="S64" i="1"/>
  <c r="Y63" i="1"/>
  <c r="T63" i="1"/>
  <c r="T64" i="1" s="1"/>
  <c r="S63" i="1"/>
  <c r="Y62" i="1"/>
  <c r="S62" i="1"/>
  <c r="Y61" i="1"/>
  <c r="S61" i="1"/>
  <c r="Y60" i="1"/>
  <c r="S60" i="1"/>
  <c r="F60" i="1"/>
  <c r="E60" i="1"/>
  <c r="D60" i="1"/>
  <c r="C60" i="1"/>
  <c r="Y59" i="1"/>
  <c r="X59" i="1"/>
  <c r="S59" i="1"/>
  <c r="Q59" i="1"/>
  <c r="K59" i="1"/>
  <c r="W55" i="1" s="1"/>
  <c r="Y58" i="1"/>
  <c r="X58" i="1"/>
  <c r="T58" i="1"/>
  <c r="T59" i="1" s="1"/>
  <c r="T60" i="1" s="1"/>
  <c r="T61" i="1" s="1"/>
  <c r="T62" i="1" s="1"/>
  <c r="S58" i="1"/>
  <c r="Y57" i="1"/>
  <c r="X57" i="1"/>
  <c r="W57" i="1"/>
  <c r="S57" i="1"/>
  <c r="W56" i="1"/>
  <c r="T56" i="1"/>
  <c r="T57" i="1" s="1"/>
  <c r="S56" i="1"/>
  <c r="T55" i="1"/>
  <c r="S55" i="1"/>
  <c r="V53" i="1"/>
  <c r="S53" i="1"/>
  <c r="F53" i="1"/>
  <c r="E53" i="1" s="1"/>
  <c r="D53" i="1"/>
  <c r="Y52" i="1"/>
  <c r="S52" i="1"/>
  <c r="F52" i="1"/>
  <c r="C52" i="1"/>
  <c r="B52" i="1"/>
  <c r="D52" i="1" s="1"/>
  <c r="Y51" i="1"/>
  <c r="S51" i="1"/>
  <c r="O51" i="1"/>
  <c r="N51" i="1"/>
  <c r="M51" i="1"/>
  <c r="L51" i="1"/>
  <c r="E51" i="1"/>
  <c r="D51" i="1"/>
  <c r="C51" i="1"/>
  <c r="B51" i="1"/>
  <c r="Y50" i="1"/>
  <c r="S50" i="1"/>
  <c r="R50" i="1"/>
  <c r="J50" i="1"/>
  <c r="Y49" i="1"/>
  <c r="S49" i="1"/>
  <c r="R49" i="1"/>
  <c r="J49" i="1"/>
  <c r="Y48" i="1"/>
  <c r="S48" i="1"/>
  <c r="Y47" i="1"/>
  <c r="S47" i="1"/>
  <c r="Y46" i="1"/>
  <c r="S46" i="1"/>
  <c r="Y45" i="1"/>
  <c r="S45" i="1"/>
  <c r="Y44" i="1"/>
  <c r="S44" i="1"/>
  <c r="F44" i="1"/>
  <c r="E44" i="1"/>
  <c r="D44" i="1"/>
  <c r="C44" i="1"/>
  <c r="D11" i="2" s="1"/>
  <c r="Y43" i="1"/>
  <c r="X43" i="1"/>
  <c r="T43" i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S43" i="1"/>
  <c r="Q43" i="1"/>
  <c r="K43" i="1"/>
  <c r="Y42" i="1"/>
  <c r="X42" i="1"/>
  <c r="T42" i="1"/>
  <c r="S42" i="1"/>
  <c r="Y41" i="1"/>
  <c r="X41" i="1"/>
  <c r="W41" i="1"/>
  <c r="T41" i="1"/>
  <c r="S41" i="1"/>
  <c r="W40" i="1"/>
  <c r="T40" i="1"/>
  <c r="S40" i="1"/>
  <c r="W39" i="1"/>
  <c r="T39" i="1"/>
  <c r="S39" i="1"/>
  <c r="V37" i="1"/>
  <c r="S37" i="1"/>
  <c r="F37" i="1"/>
  <c r="E37" i="1"/>
  <c r="D37" i="1"/>
  <c r="Y36" i="1"/>
  <c r="S36" i="1"/>
  <c r="E36" i="1"/>
  <c r="D36" i="1"/>
  <c r="C36" i="1"/>
  <c r="B36" i="1"/>
  <c r="Y35" i="1"/>
  <c r="S35" i="1"/>
  <c r="N35" i="1"/>
  <c r="M35" i="1"/>
  <c r="O35" i="1" s="1"/>
  <c r="L35" i="1"/>
  <c r="D35" i="1"/>
  <c r="C35" i="1"/>
  <c r="E35" i="1" s="1"/>
  <c r="B35" i="1"/>
  <c r="Y34" i="1"/>
  <c r="S34" i="1"/>
  <c r="R34" i="1"/>
  <c r="J34" i="1"/>
  <c r="Y33" i="1"/>
  <c r="S33" i="1"/>
  <c r="R33" i="1"/>
  <c r="J33" i="1"/>
  <c r="Y32" i="1"/>
  <c r="S32" i="1"/>
  <c r="Y31" i="1"/>
  <c r="S31" i="1"/>
  <c r="Y30" i="1"/>
  <c r="S30" i="1"/>
  <c r="Y29" i="1"/>
  <c r="S29" i="1"/>
  <c r="Y28" i="1"/>
  <c r="S28" i="1"/>
  <c r="F28" i="1"/>
  <c r="E28" i="1"/>
  <c r="F10" i="2" s="1"/>
  <c r="D28" i="1"/>
  <c r="C28" i="1"/>
  <c r="Y27" i="1"/>
  <c r="X27" i="1"/>
  <c r="S27" i="1"/>
  <c r="Q27" i="1"/>
  <c r="K27" i="1"/>
  <c r="W23" i="1" s="1"/>
  <c r="Y26" i="1"/>
  <c r="X26" i="1"/>
  <c r="T26" i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S26" i="1"/>
  <c r="Y25" i="1"/>
  <c r="X25" i="1"/>
  <c r="W25" i="1"/>
  <c r="S25" i="1"/>
  <c r="W24" i="1"/>
  <c r="T24" i="1"/>
  <c r="T25" i="1" s="1"/>
  <c r="S24" i="1"/>
  <c r="T23" i="1"/>
  <c r="S23" i="1"/>
  <c r="V21" i="1"/>
  <c r="S21" i="1"/>
  <c r="F21" i="1"/>
  <c r="D21" i="1"/>
  <c r="Y20" i="1"/>
  <c r="S20" i="1"/>
  <c r="F20" i="1"/>
  <c r="C20" i="1"/>
  <c r="B20" i="1"/>
  <c r="D20" i="1" s="1"/>
  <c r="E20" i="1" s="1"/>
  <c r="Y19" i="1"/>
  <c r="S19" i="1"/>
  <c r="O19" i="1"/>
  <c r="N19" i="1"/>
  <c r="M19" i="1"/>
  <c r="L19" i="1"/>
  <c r="E19" i="1"/>
  <c r="D19" i="1"/>
  <c r="C19" i="1"/>
  <c r="B19" i="1"/>
  <c r="Y18" i="1"/>
  <c r="S18" i="1"/>
  <c r="R18" i="1"/>
  <c r="J18" i="1"/>
  <c r="Y17" i="1"/>
  <c r="S17" i="1"/>
  <c r="R17" i="1"/>
  <c r="J17" i="1"/>
  <c r="Y16" i="1"/>
  <c r="S16" i="1"/>
  <c r="Y15" i="1"/>
  <c r="S15" i="1"/>
  <c r="Y14" i="1"/>
  <c r="S14" i="1"/>
  <c r="Y13" i="1"/>
  <c r="S13" i="1"/>
  <c r="Y12" i="1"/>
  <c r="S12" i="1"/>
  <c r="F12" i="1"/>
  <c r="E12" i="1"/>
  <c r="D12" i="1"/>
  <c r="C12" i="1"/>
  <c r="Y11" i="1"/>
  <c r="X11" i="1"/>
  <c r="T11" i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S11" i="1"/>
  <c r="Q11" i="1"/>
  <c r="K11" i="1"/>
  <c r="Y10" i="1"/>
  <c r="X10" i="1"/>
  <c r="T10" i="1"/>
  <c r="S10" i="1"/>
  <c r="Y9" i="1"/>
  <c r="X9" i="1"/>
  <c r="W9" i="1"/>
  <c r="T9" i="1"/>
  <c r="S9" i="1"/>
  <c r="W8" i="1"/>
  <c r="T8" i="1"/>
  <c r="S8" i="1"/>
  <c r="W7" i="1"/>
  <c r="T7" i="1"/>
  <c r="S7" i="1"/>
  <c r="AE6" i="1"/>
  <c r="AD6" i="1"/>
  <c r="AC6" i="1"/>
  <c r="AB6" i="1"/>
  <c r="F19" i="2" l="1"/>
  <c r="G59" i="1"/>
  <c r="F68" i="1"/>
  <c r="E21" i="1"/>
  <c r="F181" i="1"/>
  <c r="E181" i="1" s="1"/>
  <c r="G43" i="1"/>
  <c r="D9" i="2"/>
  <c r="D19" i="2" s="1"/>
  <c r="C172" i="1"/>
  <c r="B21" i="1"/>
  <c r="E52" i="1"/>
  <c r="C53" i="1"/>
  <c r="F172" i="1"/>
  <c r="G91" i="1"/>
  <c r="G14" i="2"/>
  <c r="E15" i="2"/>
  <c r="E19" i="2" s="1"/>
  <c r="D172" i="1"/>
  <c r="E172" i="1"/>
  <c r="F180" i="1" s="1"/>
  <c r="C69" i="1"/>
  <c r="E69" i="1"/>
  <c r="E68" i="1"/>
  <c r="B69" i="1"/>
  <c r="G75" i="1"/>
  <c r="E85" i="1"/>
  <c r="E84" i="1"/>
  <c r="C85" i="1"/>
  <c r="K171" i="1"/>
  <c r="W167" i="1" s="1"/>
  <c r="G19" i="2"/>
  <c r="G11" i="1"/>
  <c r="J178" i="1"/>
  <c r="C21" i="1"/>
  <c r="C37" i="1"/>
  <c r="B37" i="1"/>
  <c r="B53" i="1"/>
  <c r="Q91" i="1"/>
  <c r="F12" i="2"/>
  <c r="G27" i="1"/>
  <c r="F36" i="1"/>
  <c r="E116" i="1"/>
  <c r="E117" i="1"/>
  <c r="E164" i="1"/>
  <c r="E165" i="1"/>
  <c r="G171" i="1" l="1"/>
</calcChain>
</file>

<file path=xl/sharedStrings.xml><?xml version="1.0" encoding="utf-8"?>
<sst xmlns="http://schemas.openxmlformats.org/spreadsheetml/2006/main" count="941" uniqueCount="192">
  <si>
    <t>Estado do Paraná</t>
  </si>
  <si>
    <t>Intervalos determinados pelo dobro e metade da média paranaense.</t>
  </si>
  <si>
    <t>Secretaria da Agricultura e do Abastecimento</t>
  </si>
  <si>
    <t>Departamento de Economia Rural</t>
  </si>
  <si>
    <t>BS</t>
  </si>
  <si>
    <t>NS</t>
  </si>
  <si>
    <t>AS</t>
  </si>
  <si>
    <t>ABATE</t>
  </si>
  <si>
    <t>TdO</t>
  </si>
  <si>
    <t>leite</t>
  </si>
  <si>
    <t>Bovinocultura 2019 - Levantamento de rebanhos, abates e comercialização no Núcleo Regional de Guarapuava</t>
  </si>
  <si>
    <t>Safra:</t>
  </si>
  <si>
    <t>20/21</t>
  </si>
  <si>
    <t>SAFRA</t>
  </si>
  <si>
    <t>CODMUN</t>
  </si>
  <si>
    <t>COD_CUL</t>
  </si>
  <si>
    <t>AREA</t>
  </si>
  <si>
    <t>PRODUCAO</t>
  </si>
  <si>
    <t>PESO</t>
  </si>
  <si>
    <t>VALOR</t>
  </si>
  <si>
    <t>MUNICÍPIO:</t>
  </si>
  <si>
    <t>0395</t>
  </si>
  <si>
    <t>CAMPINA DO SIMÃO</t>
  </si>
  <si>
    <t>KG/CARNE</t>
  </si>
  <si>
    <t>LEITE DE VACA</t>
  </si>
  <si>
    <t>ESTERCOS</t>
  </si>
  <si>
    <t>Esterco Bovino - Confinados</t>
  </si>
  <si>
    <t>kg/dia.animal</t>
  </si>
  <si>
    <t>t/ano.animal</t>
  </si>
  <si>
    <t>PLANTEL</t>
  </si>
  <si>
    <t>Gado leiteiro</t>
  </si>
  <si>
    <t>Gado de corte</t>
  </si>
  <si>
    <t>Pastagens (HA)</t>
  </si>
  <si>
    <t>Leite (mil litros)</t>
  </si>
  <si>
    <t>Taxa de ocupação</t>
  </si>
  <si>
    <t>7010</t>
  </si>
  <si>
    <t xml:space="preserve">BOVINO   (BOI GORDO)  </t>
  </si>
  <si>
    <t>Esterco Bovivo - Leiteiro não-confinado</t>
  </si>
  <si>
    <t>Confinado</t>
  </si>
  <si>
    <t>Não conf.</t>
  </si>
  <si>
    <t>7025</t>
  </si>
  <si>
    <t>VACA   (PARA CORTE)</t>
  </si>
  <si>
    <t>NÚMERO DE ANIMAIS</t>
  </si>
  <si>
    <t>VITELO</t>
  </si>
  <si>
    <t>7015</t>
  </si>
  <si>
    <t>BEZERROS</t>
  </si>
  <si>
    <t>7016</t>
  </si>
  <si>
    <t>BEZERRAS</t>
  </si>
  <si>
    <t>GTA</t>
  </si>
  <si>
    <t>ABATIDOS</t>
  </si>
  <si>
    <t>PESO DE ABATE</t>
  </si>
  <si>
    <t>PESO MÉDIO (sem vitelo)</t>
  </si>
  <si>
    <t>COMERCIALIZADOS VIVOS</t>
  </si>
  <si>
    <t>*Touros com registro</t>
  </si>
  <si>
    <t>7017</t>
  </si>
  <si>
    <t>GARROTES</t>
  </si>
  <si>
    <t>Comum</t>
  </si>
  <si>
    <t>Precoce</t>
  </si>
  <si>
    <t>Vitelo</t>
  </si>
  <si>
    <t>Bezerro(a)</t>
  </si>
  <si>
    <t>Novilho(a)</t>
  </si>
  <si>
    <t>Touros/ Vacas</t>
  </si>
  <si>
    <t>7018</t>
  </si>
  <si>
    <t>NOVILHAS</t>
  </si>
  <si>
    <t xml:space="preserve"> PC</t>
  </si>
  <si>
    <t>PO corte</t>
  </si>
  <si>
    <t>PO leite</t>
  </si>
  <si>
    <t>M @</t>
  </si>
  <si>
    <t>7024</t>
  </si>
  <si>
    <t>VACA   (PARA CRIA)</t>
  </si>
  <si>
    <t>MACHOS</t>
  </si>
  <si>
    <t>TOURO PC   (COM REGISTRO)</t>
  </si>
  <si>
    <t>FÊMEAS</t>
  </si>
  <si>
    <t>TOURO PO   (REPROD. P/GADO DE CORTE)</t>
  </si>
  <si>
    <t>sub-índices</t>
  </si>
  <si>
    <t>TOURO PO   (REPROD. P/GADO DE LEITE)</t>
  </si>
  <si>
    <t>TOTAL ABATIDO (M +F)</t>
  </si>
  <si>
    <t>7019</t>
  </si>
  <si>
    <t>TOUROS</t>
  </si>
  <si>
    <t>TOTAL ABATIDO (C+P)</t>
  </si>
  <si>
    <t>precoces</t>
  </si>
  <si>
    <t>3500</t>
  </si>
  <si>
    <t>PASTAGENS</t>
  </si>
  <si>
    <t>0442</t>
  </si>
  <si>
    <t>CANDÓI</t>
  </si>
  <si>
    <t>0445</t>
  </si>
  <si>
    <t>CANTAGALO</t>
  </si>
  <si>
    <t>0845</t>
  </si>
  <si>
    <t>FOZ DO JORDÃO</t>
  </si>
  <si>
    <t>0865</t>
  </si>
  <si>
    <t>GOIOXIM</t>
  </si>
  <si>
    <t>0940</t>
  </si>
  <si>
    <t>GUARAPUAVA</t>
  </si>
  <si>
    <t>1930</t>
  </si>
  <si>
    <t>PINHÃO</t>
  </si>
  <si>
    <t>2060</t>
  </si>
  <si>
    <t>PRUDENTÓPOLIS</t>
  </si>
  <si>
    <t>2175</t>
  </si>
  <si>
    <t>RESERVA DO IGUAÇU</t>
  </si>
  <si>
    <t>,</t>
  </si>
  <si>
    <t>2796</t>
  </si>
  <si>
    <t>TURVO</t>
  </si>
  <si>
    <t>NÚCLEO REGIONAL DE GUARAPUAVA</t>
  </si>
  <si>
    <t>@</t>
  </si>
  <si>
    <t xml:space="preserve">                                                                                                                                         </t>
  </si>
  <si>
    <t>MUNICÍPIOS</t>
  </si>
  <si>
    <t>Rebanho Total</t>
  </si>
  <si>
    <t>Rebanho Leiteiro</t>
  </si>
  <si>
    <t>Leite Confinado</t>
  </si>
  <si>
    <t>Leite Não Confinado</t>
  </si>
  <si>
    <t>Corte Confinado</t>
  </si>
  <si>
    <t>Corte Não Confinado</t>
  </si>
  <si>
    <t>% Rebanho Leiteiro</t>
  </si>
  <si>
    <t>Vacas / Rebanho  Leiteiro</t>
  </si>
  <si>
    <t>50% &gt;25 E 100% &gt;36</t>
  </si>
  <si>
    <t>Vacas ordenhadas</t>
  </si>
  <si>
    <t>% Raças Rebanho</t>
  </si>
  <si>
    <t>Produção Anual (litros/vaca)</t>
  </si>
  <si>
    <t>Média (l/vaca)</t>
  </si>
  <si>
    <t xml:space="preserve"> Produção (mil litros)</t>
  </si>
  <si>
    <t>VACAS ORDENHADAS 2019</t>
  </si>
  <si>
    <t>LEITE 2019</t>
  </si>
  <si>
    <t>Holandesa</t>
  </si>
  <si>
    <t>Jersey</t>
  </si>
  <si>
    <t>Mista</t>
  </si>
  <si>
    <t>TOTAL NR</t>
  </si>
  <si>
    <t>Média Aproximada Diária</t>
  </si>
  <si>
    <t>Holandesa  (305 dias)</t>
  </si>
  <si>
    <t>Jersey        (295 dias)</t>
  </si>
  <si>
    <t>Mista         (275 dias)</t>
  </si>
  <si>
    <t>Bovinocultura 2021 - Levantamento de rebanhos, abates e comercialização no Núcleo Regional de Guarapuava</t>
  </si>
  <si>
    <t xml:space="preserve">Considerar os animais do municípios abatidos no ano (abate interno - GTA's Internas) e animais que saíram do município para abate em outros municípios (saída para abate - GTA's de Saída). </t>
  </si>
  <si>
    <t>Não considerar animais vivos que transitam dentro do próprio município  (transferência de pasto)</t>
  </si>
  <si>
    <t xml:space="preserve">Orientação para uso da GTA, sendo que os códigos representam os campos a serem utilizados. </t>
  </si>
  <si>
    <t>GTAs de Saída - Abatidos/Comercializados</t>
  </si>
  <si>
    <t>Cod. Espécie</t>
  </si>
  <si>
    <t>Espécie</t>
  </si>
  <si>
    <t>Finalidade</t>
  </si>
  <si>
    <t>Total Machos</t>
  </si>
  <si>
    <t>Total Femeas</t>
  </si>
  <si>
    <t>Total Animais</t>
  </si>
  <si>
    <t>0 - 12 meses</t>
  </si>
  <si>
    <t>12 - 24 meses</t>
  </si>
  <si>
    <t>24 - 36 meses</t>
  </si>
  <si>
    <t>Mais de 36 meses</t>
  </si>
  <si>
    <t>M</t>
  </si>
  <si>
    <t>F</t>
  </si>
  <si>
    <t xml:space="preserve">BOVINA </t>
  </si>
  <si>
    <t xml:space="preserve">Abate </t>
  </si>
  <si>
    <t>7010 boi p/corte</t>
  </si>
  <si>
    <t>7025 vaca p/corte</t>
  </si>
  <si>
    <t>7590 vitelo</t>
  </si>
  <si>
    <t xml:space="preserve">Cria/Engorda </t>
  </si>
  <si>
    <t>7015 bezerros</t>
  </si>
  <si>
    <t xml:space="preserve">7016 bezerras </t>
  </si>
  <si>
    <t xml:space="preserve">7017 novilho </t>
  </si>
  <si>
    <t>7018 novilha</t>
  </si>
  <si>
    <t>7017 novilho</t>
  </si>
  <si>
    <t xml:space="preserve">CRIA/Reproducao </t>
  </si>
  <si>
    <t>7019 touros</t>
  </si>
  <si>
    <t>7024 vaca p/cria</t>
  </si>
  <si>
    <t xml:space="preserve">Leilao </t>
  </si>
  <si>
    <t>Desc. Espécie</t>
  </si>
  <si>
    <t>GTA's</t>
  </si>
  <si>
    <t xml:space="preserve">Cria/Reproducao </t>
  </si>
  <si>
    <t xml:space="preserve">EQUINA </t>
  </si>
  <si>
    <t xml:space="preserve">Trabalho </t>
  </si>
  <si>
    <t xml:space="preserve">MUAR </t>
  </si>
  <si>
    <t xml:space="preserve">SUÍNA </t>
  </si>
  <si>
    <t xml:space="preserve">GALINHA </t>
  </si>
  <si>
    <t xml:space="preserve">PEIXES </t>
  </si>
  <si>
    <t>GTAs Internas - Abatidos/Comercializados</t>
  </si>
  <si>
    <t>7010 boi p/ corte</t>
  </si>
  <si>
    <t>Touros PC e PO (7006, 7007, 7008) - devem possuir o registro genalógico, bem como devem ser descontados do item 7019 (touro comum)</t>
  </si>
  <si>
    <t xml:space="preserve">Vitelo: desconsiderar se não houver na região aimais neste regime específico. Se houver, descontar do código 7010. </t>
  </si>
  <si>
    <t>INSTRUÇÕES:</t>
  </si>
  <si>
    <t>Parte das informações deste novo formulários são iguais as do antigo e deverão ser obtidas preferencialmente via GTA, foram acrescentadas outras informações importantes para</t>
  </si>
  <si>
    <t>melhorar a consistencia da pesquisa.</t>
  </si>
  <si>
    <t>Preencher somente os campos em amarelo.</t>
  </si>
  <si>
    <t>As informações de gado leiteiro e de corte, confinados ou não, deverão perfazer 100% quando somados.</t>
  </si>
  <si>
    <t>Os sub-índices destacam quando há alguma distorção relevante em relação à média do Estado, porém não quer dizer que esteja necessariamente errado o valor lançado.</t>
  </si>
  <si>
    <t>As informações deverão ser devolvidas à Sede exclusivamente por meio eletrônico (e-mail).</t>
  </si>
  <si>
    <t>Os animais abatidos deverão ser subdivididos em comum, precoce e vitelo; porém, posteriormente na Sede os precoces serão agregados aos comuns. A separação serve exclusivamente</t>
  </si>
  <si>
    <t>para calcular a média de peso.</t>
  </si>
  <si>
    <t>Lembrar de descontar os animais com registro do número de touros captados da GTA.</t>
  </si>
  <si>
    <t>Os itens que aparecerem em vermelho indicam que o número está fora da faixa média do Estado, o que não significa que está errado, pois certamente haverá situações</t>
  </si>
  <si>
    <t>particulares que justificam.</t>
  </si>
  <si>
    <t>DEFINIÇÕES:</t>
  </si>
  <si>
    <t>O gado leiteiro engloba também o gado misto, já o gado de corte é apenas o destinado especificamente para esta aptidão.</t>
  </si>
  <si>
    <t>No campo rebanho confinado preencher considerando os animais confinados 100% do tempo.</t>
  </si>
  <si>
    <t>No campo não confinado preencher considerando os animais não confinados e semi-confinados.</t>
  </si>
  <si>
    <t>Para a média de litros por vaca dia foi considerado um período de lactação de 305 dias.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</si>
</sst>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dd\-mmm\-yy"/>
    <numFmt numFmtId="165" formatCode="#,##0.0\ ;&quot; (&quot;#,##0.0\);\-#\ ;@\ "/>
    <numFmt numFmtId="166" formatCode="#,##0.00\ ;&quot; (&quot;#,##0.00\);\-#\ ;@\ "/>
    <numFmt numFmtId="167" formatCode="0\ ;&quot; (&quot;0\);\-#\ ;@\ "/>
    <numFmt numFmtId="168" formatCode="#,##0.000\ ;&quot; (&quot;#,##0.000\);\-#\ ;@\ "/>
    <numFmt numFmtId="169" formatCode="#,##0.00000\ ;&quot; (&quot;#,##0.00000\);\-#\ ;@\ "/>
    <numFmt numFmtId="170" formatCode="0.0%"/>
    <numFmt numFmtId="171" formatCode="#,##0.0"/>
    <numFmt numFmtId="172" formatCode="0.0"/>
    <numFmt numFmtId="173" formatCode="0\ ;&quot; (&quot;0\);\-00\ ;@\ "/>
    <numFmt numFmtId="174" formatCode="#,##0;[Red]#,##0"/>
    <numFmt numFmtId="175" formatCode="#,##0.00&quot; &quot;;&quot; (&quot;#,##0.00&quot;)&quot;;&quot;-&quot;#&quot; &quot;;@&quot; &quot;"/>
  </numFmts>
  <fonts count="34">
    <font>
      <sz val="8"/>
      <color rgb="FF000000"/>
      <name val="Arial1"/>
      <charset val="1"/>
    </font>
    <font>
      <b/>
      <sz val="8"/>
      <color rgb="FFFF0000"/>
      <name val="Arial1"/>
      <charset val="1"/>
    </font>
    <font>
      <b/>
      <sz val="8"/>
      <color rgb="FF339933"/>
      <name val="Arial1"/>
      <charset val="1"/>
    </font>
    <font>
      <sz val="10"/>
      <color rgb="FF000000"/>
      <name val="Arial1"/>
      <charset val="1"/>
    </font>
    <font>
      <b/>
      <sz val="18"/>
      <color rgb="FF333399"/>
      <name val="Cambria"/>
      <family val="1"/>
      <charset val="1"/>
    </font>
    <font>
      <sz val="18"/>
      <color rgb="FF424242"/>
      <name val="Calibri Light"/>
      <family val="2"/>
      <charset val="1"/>
    </font>
    <font>
      <b/>
      <sz val="12"/>
      <color rgb="FF000000"/>
      <name val="Arial1"/>
      <charset val="1"/>
    </font>
    <font>
      <b/>
      <sz val="16"/>
      <color rgb="FFFF0000"/>
      <name val="Arial1"/>
      <charset val="1"/>
    </font>
    <font>
      <b/>
      <sz val="8"/>
      <name val="Arial1"/>
      <charset val="1"/>
    </font>
    <font>
      <b/>
      <sz val="14"/>
      <color rgb="FFFF0000"/>
      <name val="Arial1"/>
      <charset val="1"/>
    </font>
    <font>
      <sz val="12"/>
      <name val="Arial1"/>
      <charset val="1"/>
    </font>
    <font>
      <b/>
      <sz val="8"/>
      <color rgb="FF000000"/>
      <name val="Arial1"/>
      <charset val="1"/>
    </font>
    <font>
      <b/>
      <sz val="8"/>
      <color rgb="FF000000"/>
      <name val="Arial2"/>
      <charset val="1"/>
    </font>
    <font>
      <sz val="16"/>
      <color rgb="FFFFFFFF"/>
      <name val="Arial1"/>
      <charset val="1"/>
    </font>
    <font>
      <b/>
      <sz val="10"/>
      <color rgb="FF000000"/>
      <name val="Arial2"/>
      <charset val="1"/>
    </font>
    <font>
      <b/>
      <sz val="10"/>
      <color rgb="FF000000"/>
      <name val="Arial1"/>
      <charset val="1"/>
    </font>
    <font>
      <b/>
      <sz val="8"/>
      <color rgb="FFFF0000"/>
      <name val="Arial2"/>
      <charset val="1"/>
    </font>
    <font>
      <b/>
      <sz val="8"/>
      <color rgb="FF0000FF"/>
      <name val="Arial1"/>
      <charset val="1"/>
    </font>
    <font>
      <b/>
      <sz val="10"/>
      <color rgb="FF0000FF"/>
      <name val="Arial1"/>
      <charset val="1"/>
    </font>
    <font>
      <b/>
      <sz val="8"/>
      <color rgb="FFFF00FF"/>
      <name val="Arial1"/>
      <charset val="1"/>
    </font>
    <font>
      <b/>
      <sz val="10"/>
      <color rgb="FFFF00FF"/>
      <name val="Arial1"/>
      <charset val="1"/>
    </font>
    <font>
      <sz val="12"/>
      <color rgb="FF000000"/>
      <name val="Arial1"/>
      <charset val="1"/>
    </font>
    <font>
      <sz val="8"/>
      <name val="Arial1"/>
      <charset val="1"/>
    </font>
    <font>
      <b/>
      <sz val="9"/>
      <name val="Arial1"/>
      <charset val="1"/>
    </font>
    <font>
      <sz val="8"/>
      <color rgb="FFFF0000"/>
      <name val="Arial1"/>
      <charset val="1"/>
    </font>
    <font>
      <sz val="7"/>
      <color rgb="FF000000"/>
      <name val="Arial1"/>
      <charset val="1"/>
    </font>
    <font>
      <b/>
      <sz val="7"/>
      <color rgb="FF000000"/>
      <name val="Arial1"/>
      <charset val="1"/>
    </font>
    <font>
      <sz val="8"/>
      <color rgb="FF000000"/>
      <name val="Arial1"/>
      <charset val="1"/>
    </font>
    <font>
      <sz val="11"/>
      <color rgb="FF000000"/>
      <name val="Calibri"/>
      <family val="2"/>
    </font>
    <font>
      <sz val="8"/>
      <color rgb="FF000000"/>
      <name val="Arial1"/>
    </font>
    <font>
      <b/>
      <sz val="10"/>
      <color rgb="FF000080"/>
      <name val="Tahoma"/>
      <family val="2"/>
    </font>
    <font>
      <b/>
      <sz val="10"/>
      <color rgb="FF000000"/>
      <name val="Tahoma"/>
      <family val="2"/>
    </font>
    <font>
      <sz val="7"/>
      <color rgb="FF000000"/>
      <name val="Tahoma"/>
      <family val="2"/>
    </font>
    <font>
      <b/>
      <sz val="8"/>
      <color rgb="FF000000"/>
      <name val="Arial1"/>
    </font>
  </fonts>
  <fills count="14">
    <fill>
      <patternFill patternType="none"/>
    </fill>
    <fill>
      <patternFill patternType="gray125"/>
    </fill>
    <fill>
      <patternFill patternType="solid">
        <fgColor rgb="FFFFEFB4"/>
        <bgColor rgb="FFFFFF99"/>
      </patternFill>
    </fill>
    <fill>
      <patternFill patternType="solid">
        <fgColor rgb="FFFF0000"/>
        <bgColor rgb="FFFF3333"/>
      </patternFill>
    </fill>
    <fill>
      <patternFill patternType="solid">
        <fgColor rgb="FFFFFFFF"/>
        <bgColor rgb="FFFFEFB4"/>
      </patternFill>
    </fill>
    <fill>
      <patternFill patternType="solid">
        <fgColor rgb="FFFFFF99"/>
        <bgColor rgb="FFFFEFB4"/>
      </patternFill>
    </fill>
    <fill>
      <patternFill patternType="solid">
        <fgColor rgb="FF99FF33"/>
        <bgColor rgb="FFCCFFCC"/>
      </patternFill>
    </fill>
    <fill>
      <patternFill patternType="solid">
        <fgColor rgb="FFCCCCCC"/>
        <bgColor rgb="FFC0C0C0"/>
      </patternFill>
    </fill>
    <fill>
      <patternFill patternType="solid">
        <fgColor rgb="FFFF3333"/>
        <bgColor rgb="FFFF0000"/>
      </patternFill>
    </fill>
    <fill>
      <patternFill patternType="solid">
        <fgColor rgb="FFFF9999"/>
        <bgColor rgb="FFFF8080"/>
      </patternFill>
    </fill>
    <fill>
      <patternFill patternType="solid">
        <fgColor rgb="FFFFFF66"/>
        <bgColor rgb="FFFFFF99"/>
      </patternFill>
    </fill>
    <fill>
      <patternFill patternType="solid">
        <fgColor rgb="FF99FFFF"/>
        <bgColor rgb="FFCCFFFF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CCCCCC"/>
      </left>
      <right style="hair">
        <color rgb="FFCCCCCC"/>
      </right>
      <top style="hair">
        <color rgb="FFCCCCCC"/>
      </top>
      <bottom/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CCCCCC"/>
      </left>
      <right style="hair">
        <color rgb="FFCCCCCC"/>
      </right>
      <top/>
      <bottom style="hair">
        <color rgb="FFCCCCCC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rgb="FFFFFFFF"/>
      </left>
      <right style="hair">
        <color rgb="FFFFFFFF"/>
      </right>
      <top style="hair">
        <color auto="1"/>
      </top>
      <bottom style="hair">
        <color rgb="FFFFFFFF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FFFFF"/>
      </left>
      <right style="hair">
        <color rgb="FFFFFFFF"/>
      </right>
      <top/>
      <bottom style="hair">
        <color rgb="FFFFFFFF"/>
      </bottom>
      <diagonal/>
    </border>
    <border>
      <left style="hair">
        <color auto="1"/>
      </left>
      <right style="hair">
        <color rgb="FFFFFFFF"/>
      </right>
      <top style="hair">
        <color auto="1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2">
    <xf numFmtId="0" fontId="0" fillId="0" borderId="0"/>
    <xf numFmtId="166" fontId="27" fillId="0" borderId="0" applyBorder="0" applyProtection="0"/>
    <xf numFmtId="9" fontId="27" fillId="0" borderId="0" applyBorder="0" applyProtection="0"/>
    <xf numFmtId="0" fontId="1" fillId="0" borderId="0" applyBorder="0" applyProtection="0"/>
    <xf numFmtId="0" fontId="27" fillId="2" borderId="1" applyProtection="0"/>
    <xf numFmtId="0" fontId="27" fillId="3" borderId="0" applyBorder="0" applyProtection="0"/>
    <xf numFmtId="0" fontId="1" fillId="0" borderId="0" applyBorder="0" applyProtection="0"/>
    <xf numFmtId="0" fontId="1" fillId="0" borderId="0" applyBorder="0" applyProtection="0"/>
    <xf numFmtId="0" fontId="2" fillId="0" borderId="0" applyBorder="0" applyProtection="0"/>
    <xf numFmtId="0" fontId="27" fillId="3" borderId="0" applyBorder="0" applyProtection="0"/>
    <xf numFmtId="0" fontId="27" fillId="2" borderId="1" applyProtection="0"/>
    <xf numFmtId="0" fontId="27" fillId="4" borderId="0" applyBorder="0" applyProtection="0"/>
    <xf numFmtId="0" fontId="27" fillId="3" borderId="0" applyBorder="0" applyProtection="0"/>
    <xf numFmtId="0" fontId="1" fillId="0" borderId="0" applyBorder="0" applyProtection="0"/>
    <xf numFmtId="0" fontId="2" fillId="0" borderId="0" applyBorder="0" applyProtection="0"/>
    <xf numFmtId="0" fontId="3" fillId="0" borderId="0" applyBorder="0" applyProtection="0"/>
    <xf numFmtId="0" fontId="4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28" fillId="0" borderId="0" applyNumberFormat="0" applyBorder="0" applyProtection="0"/>
    <xf numFmtId="0" fontId="29" fillId="0" borderId="0"/>
    <xf numFmtId="175" fontId="29" fillId="0" borderId="0" applyFont="0" applyBorder="0" applyProtection="0"/>
  </cellStyleXfs>
  <cellXfs count="177">
    <xf numFmtId="0" fontId="0" fillId="0" borderId="0" xfId="0"/>
    <xf numFmtId="0" fontId="0" fillId="4" borderId="0" xfId="0" applyFill="1"/>
    <xf numFmtId="3" fontId="0" fillId="4" borderId="0" xfId="0" applyNumberFormat="1" applyFill="1"/>
    <xf numFmtId="0" fontId="0" fillId="4" borderId="0" xfId="0" applyFill="1" applyAlignment="1">
      <alignment vertical="center"/>
    </xf>
    <xf numFmtId="0" fontId="0" fillId="4" borderId="0" xfId="0" applyFont="1" applyFill="1" applyAlignment="1" applyProtection="1">
      <alignment horizontal="left"/>
    </xf>
    <xf numFmtId="0" fontId="3" fillId="4" borderId="0" xfId="15" applyFont="1" applyFill="1" applyBorder="1" applyAlignment="1" applyProtection="1">
      <alignment horizontal="center"/>
    </xf>
    <xf numFmtId="9" fontId="0" fillId="4" borderId="0" xfId="0" applyNumberFormat="1" applyFont="1" applyFill="1"/>
    <xf numFmtId="0" fontId="0" fillId="4" borderId="0" xfId="0" applyFill="1" applyBorder="1"/>
    <xf numFmtId="164" fontId="3" fillId="4" borderId="0" xfId="15" applyNumberFormat="1" applyFont="1" applyFill="1" applyBorder="1" applyAlignment="1" applyProtection="1">
      <alignment horizontal="right" wrapText="1"/>
    </xf>
    <xf numFmtId="0" fontId="0" fillId="4" borderId="0" xfId="0" applyFont="1" applyFill="1" applyAlignment="1">
      <alignment horizontal="right" textRotation="90"/>
    </xf>
    <xf numFmtId="0" fontId="0" fillId="4" borderId="0" xfId="0" applyFill="1" applyAlignment="1" applyProtection="1"/>
    <xf numFmtId="9" fontId="27" fillId="4" borderId="0" xfId="2" applyFill="1" applyBorder="1" applyAlignment="1" applyProtection="1"/>
    <xf numFmtId="165" fontId="0" fillId="4" borderId="0" xfId="0" applyNumberFormat="1" applyFill="1"/>
    <xf numFmtId="1" fontId="0" fillId="4" borderId="0" xfId="0" applyNumberFormat="1" applyFill="1"/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Alignment="1" applyProtection="1">
      <alignment horizontal="left"/>
    </xf>
    <xf numFmtId="0" fontId="7" fillId="4" borderId="0" xfId="0" applyFont="1" applyFill="1"/>
    <xf numFmtId="0" fontId="7" fillId="4" borderId="2" xfId="15" applyFont="1" applyFill="1" applyBorder="1" applyAlignment="1" applyProtection="1">
      <alignment horizontal="left" wrapText="1"/>
    </xf>
    <xf numFmtId="0" fontId="0" fillId="4" borderId="0" xfId="0" applyFill="1" applyAlignment="1">
      <alignment horizontal="left" vertical="center"/>
    </xf>
    <xf numFmtId="0" fontId="3" fillId="4" borderId="3" xfId="15" applyFont="1" applyFill="1" applyBorder="1" applyAlignment="1" applyProtection="1">
      <alignment horizontal="center"/>
    </xf>
    <xf numFmtId="0" fontId="8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0" fillId="4" borderId="0" xfId="0" applyFont="1" applyFill="1" applyAlignment="1">
      <alignment vertical="center"/>
    </xf>
    <xf numFmtId="0" fontId="10" fillId="4" borderId="2" xfId="15" applyFont="1" applyFill="1" applyBorder="1" applyAlignment="1" applyProtection="1">
      <alignment horizontal="left" vertical="center" wrapText="1"/>
    </xf>
    <xf numFmtId="0" fontId="10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167" fontId="0" fillId="4" borderId="0" xfId="1" applyNumberFormat="1" applyFont="1" applyFill="1" applyBorder="1" applyProtection="1"/>
    <xf numFmtId="167" fontId="0" fillId="4" borderId="0" xfId="0" applyNumberFormat="1" applyFill="1"/>
    <xf numFmtId="2" fontId="0" fillId="4" borderId="0" xfId="0" applyNumberFormat="1" applyFill="1"/>
    <xf numFmtId="0" fontId="3" fillId="4" borderId="2" xfId="15" applyFont="1" applyFill="1" applyBorder="1" applyAlignment="1" applyProtection="1">
      <alignment horizontal="left" wrapText="1"/>
    </xf>
    <xf numFmtId="0" fontId="0" fillId="4" borderId="4" xfId="0" applyFont="1" applyFill="1" applyBorder="1" applyAlignment="1">
      <alignment horizontal="left"/>
    </xf>
    <xf numFmtId="168" fontId="27" fillId="4" borderId="4" xfId="1" applyNumberFormat="1" applyFill="1" applyBorder="1" applyAlignment="1" applyProtection="1">
      <alignment horizontal="center"/>
    </xf>
    <xf numFmtId="169" fontId="27" fillId="4" borderId="4" xfId="1" applyNumberFormat="1" applyFill="1" applyBorder="1" applyAlignment="1" applyProtection="1">
      <alignment horizontal="right"/>
    </xf>
    <xf numFmtId="0" fontId="0" fillId="4" borderId="0" xfId="0" applyFill="1" applyAlignment="1">
      <alignment horizontal="left"/>
    </xf>
    <xf numFmtId="0" fontId="11" fillId="4" borderId="3" xfId="0" applyFont="1" applyFill="1" applyBorder="1" applyAlignment="1">
      <alignment horizontal="center" vertical="center"/>
    </xf>
    <xf numFmtId="0" fontId="0" fillId="4" borderId="5" xfId="0" applyFill="1" applyBorder="1"/>
    <xf numFmtId="0" fontId="12" fillId="4" borderId="8" xfId="0" applyFont="1" applyFill="1" applyBorder="1"/>
    <xf numFmtId="0" fontId="0" fillId="4" borderId="0" xfId="0" applyFont="1" applyFill="1" applyAlignment="1">
      <alignment horizontal="center" vertical="center"/>
    </xf>
    <xf numFmtId="1" fontId="0" fillId="4" borderId="0" xfId="0" applyNumberFormat="1" applyFill="1" applyAlignment="1">
      <alignment vertical="center"/>
    </xf>
    <xf numFmtId="0" fontId="0" fillId="4" borderId="0" xfId="0" applyFont="1" applyFill="1" applyAlignment="1">
      <alignment horizontal="left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/>
    </xf>
    <xf numFmtId="170" fontId="0" fillId="5" borderId="3" xfId="2" applyNumberFormat="1" applyFont="1" applyFill="1" applyBorder="1" applyAlignment="1" applyProtection="1">
      <alignment horizontal="center"/>
      <protection locked="0"/>
    </xf>
    <xf numFmtId="0" fontId="0" fillId="4" borderId="5" xfId="0" applyFill="1" applyBorder="1"/>
    <xf numFmtId="3" fontId="0" fillId="5" borderId="3" xfId="0" applyNumberFormat="1" applyFill="1" applyBorder="1" applyAlignment="1" applyProtection="1">
      <alignment horizontal="center"/>
      <protection locked="0"/>
    </xf>
    <xf numFmtId="3" fontId="11" fillId="4" borderId="9" xfId="1" applyNumberFormat="1" applyFont="1" applyFill="1" applyBorder="1" applyAlignment="1" applyProtection="1">
      <alignment horizontal="center"/>
    </xf>
    <xf numFmtId="3" fontId="11" fillId="5" borderId="3" xfId="1" applyNumberFormat="1" applyFont="1" applyFill="1" applyBorder="1" applyAlignment="1" applyProtection="1">
      <alignment horizontal="center"/>
    </xf>
    <xf numFmtId="3" fontId="0" fillId="4" borderId="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2" fontId="11" fillId="4" borderId="10" xfId="0" applyNumberFormat="1" applyFont="1" applyFill="1" applyBorder="1" applyAlignment="1">
      <alignment horizontal="center"/>
    </xf>
    <xf numFmtId="1" fontId="0" fillId="4" borderId="0" xfId="0" applyNumberFormat="1" applyFill="1" applyAlignment="1">
      <alignment horizontal="center" vertical="center"/>
    </xf>
    <xf numFmtId="1" fontId="0" fillId="4" borderId="0" xfId="0" applyNumberFormat="1" applyFont="1" applyFill="1" applyAlignment="1">
      <alignment horizontal="left" vertical="center" wrapText="1"/>
    </xf>
    <xf numFmtId="0" fontId="0" fillId="4" borderId="0" xfId="0" applyFill="1" applyAlignment="1"/>
    <xf numFmtId="3" fontId="0" fillId="4" borderId="3" xfId="1" applyNumberFormat="1" applyFont="1" applyFill="1" applyBorder="1" applyAlignment="1" applyProtection="1">
      <alignment horizontal="center"/>
    </xf>
    <xf numFmtId="3" fontId="0" fillId="4" borderId="11" xfId="0" applyNumberFormat="1" applyFill="1" applyBorder="1"/>
    <xf numFmtId="3" fontId="0" fillId="4" borderId="12" xfId="0" applyNumberFormat="1" applyFill="1" applyBorder="1"/>
    <xf numFmtId="3" fontId="0" fillId="4" borderId="13" xfId="0" applyNumberFormat="1" applyFill="1" applyBorder="1"/>
    <xf numFmtId="0" fontId="0" fillId="4" borderId="12" xfId="0" applyFill="1" applyBorder="1"/>
    <xf numFmtId="0" fontId="0" fillId="4" borderId="11" xfId="0" applyFill="1" applyBorder="1"/>
    <xf numFmtId="0" fontId="11" fillId="4" borderId="11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/>
    </xf>
    <xf numFmtId="9" fontId="0" fillId="4" borderId="11" xfId="2" applyFont="1" applyFill="1" applyBorder="1" applyProtection="1"/>
    <xf numFmtId="9" fontId="0" fillId="4" borderId="12" xfId="2" applyFont="1" applyFill="1" applyBorder="1" applyProtection="1"/>
    <xf numFmtId="2" fontId="0" fillId="4" borderId="12" xfId="0" applyNumberFormat="1" applyFill="1" applyBorder="1"/>
    <xf numFmtId="0" fontId="12" fillId="4" borderId="3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/>
    </xf>
    <xf numFmtId="3" fontId="0" fillId="4" borderId="3" xfId="0" applyNumberFormat="1" applyFont="1" applyFill="1" applyBorder="1" applyAlignment="1">
      <alignment horizontal="center" vertical="center"/>
    </xf>
    <xf numFmtId="3" fontId="0" fillId="5" borderId="3" xfId="0" applyNumberFormat="1" applyFill="1" applyBorder="1" applyProtection="1">
      <protection locked="0"/>
    </xf>
    <xf numFmtId="3" fontId="0" fillId="4" borderId="3" xfId="0" applyNumberFormat="1" applyFill="1" applyBorder="1" applyProtection="1">
      <protection locked="0"/>
    </xf>
    <xf numFmtId="3" fontId="12" fillId="4" borderId="3" xfId="0" applyNumberFormat="1" applyFont="1" applyFill="1" applyBorder="1" applyAlignment="1">
      <alignment horizontal="center"/>
    </xf>
    <xf numFmtId="3" fontId="0" fillId="4" borderId="12" xfId="0" applyNumberFormat="1" applyFont="1" applyFill="1" applyBorder="1" applyAlignment="1">
      <alignment horizontal="center" vertical="center"/>
    </xf>
    <xf numFmtId="3" fontId="3" fillId="4" borderId="2" xfId="15" applyNumberFormat="1" applyFont="1" applyFill="1" applyBorder="1" applyAlignment="1" applyProtection="1">
      <alignment horizontal="left" wrapText="1"/>
    </xf>
    <xf numFmtId="3" fontId="0" fillId="4" borderId="0" xfId="0" applyNumberFormat="1" applyFill="1" applyAlignment="1">
      <alignment horizontal="center" vertical="center"/>
    </xf>
    <xf numFmtId="3" fontId="0" fillId="4" borderId="0" xfId="0" applyNumberFormat="1" applyFont="1" applyFill="1" applyAlignment="1">
      <alignment horizontal="left" vertical="center" wrapText="1"/>
    </xf>
    <xf numFmtId="3" fontId="0" fillId="4" borderId="3" xfId="0" applyNumberFormat="1" applyFill="1" applyBorder="1"/>
    <xf numFmtId="3" fontId="0" fillId="5" borderId="3" xfId="0" applyNumberFormat="1" applyFill="1" applyBorder="1"/>
    <xf numFmtId="3" fontId="0" fillId="4" borderId="14" xfId="0" applyNumberFormat="1" applyFill="1" applyBorder="1" applyAlignment="1">
      <alignment horizontal="center" wrapText="1"/>
    </xf>
    <xf numFmtId="3" fontId="0" fillId="4" borderId="11" xfId="0" applyNumberFormat="1" applyFill="1" applyBorder="1" applyAlignment="1">
      <alignment horizontal="center" wrapText="1"/>
    </xf>
    <xf numFmtId="9" fontId="0" fillId="4" borderId="3" xfId="2" applyFont="1" applyFill="1" applyBorder="1" applyProtection="1"/>
    <xf numFmtId="0" fontId="11" fillId="4" borderId="12" xfId="0" applyFont="1" applyFill="1" applyBorder="1" applyAlignment="1">
      <alignment horizontal="center" vertical="center"/>
    </xf>
    <xf numFmtId="9" fontId="0" fillId="4" borderId="3" xfId="2" applyFont="1" applyFill="1" applyBorder="1" applyAlignment="1" applyProtection="1">
      <alignment horizontal="center"/>
    </xf>
    <xf numFmtId="3" fontId="17" fillId="4" borderId="0" xfId="0" applyNumberFormat="1" applyFont="1" applyFill="1" applyAlignment="1">
      <alignment vertical="center"/>
    </xf>
    <xf numFmtId="3" fontId="17" fillId="4" borderId="0" xfId="0" applyNumberFormat="1" applyFont="1" applyFill="1" applyAlignment="1" applyProtection="1">
      <alignment vertical="center"/>
      <protection locked="0"/>
    </xf>
    <xf numFmtId="170" fontId="17" fillId="4" borderId="0" xfId="0" applyNumberFormat="1" applyFont="1" applyFill="1" applyAlignment="1" applyProtection="1">
      <alignment vertical="center"/>
      <protection locked="0"/>
    </xf>
    <xf numFmtId="9" fontId="17" fillId="4" borderId="0" xfId="0" applyNumberFormat="1" applyFont="1" applyFill="1" applyAlignment="1" applyProtection="1">
      <alignment vertical="center"/>
      <protection locked="0"/>
    </xf>
    <xf numFmtId="3" fontId="18" fillId="4" borderId="2" xfId="15" applyNumberFormat="1" applyFont="1" applyFill="1" applyBorder="1" applyAlignment="1" applyProtection="1">
      <alignment horizontal="left" vertical="center" wrapText="1"/>
    </xf>
    <xf numFmtId="3" fontId="17" fillId="4" borderId="0" xfId="0" applyNumberFormat="1" applyFont="1" applyFill="1" applyAlignment="1">
      <alignment horizontal="center" vertical="center"/>
    </xf>
    <xf numFmtId="3" fontId="17" fillId="4" borderId="0" xfId="0" applyNumberFormat="1" applyFont="1" applyFill="1" applyAlignment="1">
      <alignment horizontal="left" vertical="center" wrapText="1"/>
    </xf>
    <xf numFmtId="3" fontId="19" fillId="4" borderId="0" xfId="0" applyNumberFormat="1" applyFont="1" applyFill="1"/>
    <xf numFmtId="170" fontId="19" fillId="4" borderId="0" xfId="0" applyNumberFormat="1" applyFont="1" applyFill="1" applyProtection="1">
      <protection locked="0"/>
    </xf>
    <xf numFmtId="3" fontId="17" fillId="6" borderId="0" xfId="0" applyNumberFormat="1" applyFont="1" applyFill="1" applyProtection="1">
      <protection locked="0"/>
    </xf>
    <xf numFmtId="171" fontId="0" fillId="4" borderId="0" xfId="0" applyNumberFormat="1" applyFill="1"/>
    <xf numFmtId="3" fontId="19" fillId="4" borderId="0" xfId="0" applyNumberFormat="1" applyFont="1" applyFill="1" applyProtection="1">
      <protection locked="0"/>
    </xf>
    <xf numFmtId="3" fontId="19" fillId="4" borderId="0" xfId="0" applyNumberFormat="1" applyFont="1" applyFill="1" applyAlignment="1">
      <alignment vertical="center"/>
    </xf>
    <xf numFmtId="3" fontId="20" fillId="4" borderId="2" xfId="15" applyNumberFormat="1" applyFont="1" applyFill="1" applyBorder="1" applyAlignment="1" applyProtection="1">
      <alignment horizontal="left" wrapText="1"/>
    </xf>
    <xf numFmtId="3" fontId="19" fillId="4" borderId="0" xfId="0" applyNumberFormat="1" applyFont="1" applyFill="1" applyAlignment="1">
      <alignment horizontal="center" vertical="center"/>
    </xf>
    <xf numFmtId="3" fontId="19" fillId="4" borderId="0" xfId="0" applyNumberFormat="1" applyFont="1" applyFill="1" applyAlignment="1">
      <alignment horizontal="left" vertical="center" wrapText="1"/>
    </xf>
    <xf numFmtId="0" fontId="12" fillId="4" borderId="0" xfId="0" applyFont="1" applyFill="1" applyAlignment="1">
      <alignment horizontal="center" vertical="center"/>
    </xf>
    <xf numFmtId="171" fontId="0" fillId="4" borderId="3" xfId="0" applyNumberFormat="1" applyFill="1" applyBorder="1" applyProtection="1">
      <protection locked="0"/>
    </xf>
    <xf numFmtId="171" fontId="0" fillId="4" borderId="3" xfId="0" applyNumberFormat="1" applyFill="1" applyBorder="1"/>
    <xf numFmtId="0" fontId="11" fillId="4" borderId="0" xfId="0" applyFont="1" applyFill="1"/>
    <xf numFmtId="0" fontId="21" fillId="4" borderId="0" xfId="0" applyFont="1" applyFill="1"/>
    <xf numFmtId="0" fontId="6" fillId="4" borderId="0" xfId="0" applyFont="1" applyFill="1"/>
    <xf numFmtId="171" fontId="21" fillId="4" borderId="0" xfId="0" applyNumberFormat="1" applyFont="1" applyFill="1"/>
    <xf numFmtId="0" fontId="22" fillId="0" borderId="0" xfId="0" applyFont="1"/>
    <xf numFmtId="9" fontId="22" fillId="0" borderId="0" xfId="2" applyFont="1" applyBorder="1" applyAlignment="1" applyProtection="1"/>
    <xf numFmtId="0" fontId="8" fillId="0" borderId="0" xfId="0" applyFont="1"/>
    <xf numFmtId="171" fontId="22" fillId="0" borderId="0" xfId="0" applyNumberFormat="1" applyFont="1"/>
    <xf numFmtId="0" fontId="8" fillId="7" borderId="3" xfId="0" applyFont="1" applyFill="1" applyBorder="1" applyAlignment="1">
      <alignment horizontal="center" vertical="center"/>
    </xf>
    <xf numFmtId="173" fontId="0" fillId="0" borderId="3" xfId="0" applyNumberFormat="1" applyFont="1" applyBorder="1" applyAlignment="1">
      <alignment horizontal="left"/>
    </xf>
    <xf numFmtId="174" fontId="27" fillId="0" borderId="3" xfId="1" applyNumberFormat="1" applyBorder="1" applyAlignment="1" applyProtection="1">
      <alignment horizontal="center" vertical="center"/>
    </xf>
    <xf numFmtId="174" fontId="0" fillId="0" borderId="3" xfId="0" applyNumberFormat="1" applyBorder="1" applyAlignment="1">
      <alignment horizontal="center" vertical="center"/>
    </xf>
    <xf numFmtId="9" fontId="27" fillId="0" borderId="3" xfId="2" applyBorder="1" applyAlignment="1" applyProtection="1">
      <alignment horizontal="center" vertical="center"/>
    </xf>
    <xf numFmtId="3" fontId="22" fillId="10" borderId="3" xfId="0" applyNumberFormat="1" applyFont="1" applyFill="1" applyBorder="1" applyAlignment="1" applyProtection="1">
      <alignment horizontal="center"/>
      <protection locked="0"/>
    </xf>
    <xf numFmtId="9" fontId="27" fillId="10" borderId="3" xfId="2" applyFill="1" applyBorder="1" applyAlignment="1" applyProtection="1">
      <alignment horizontal="center"/>
      <protection locked="0"/>
    </xf>
    <xf numFmtId="3" fontId="0" fillId="10" borderId="3" xfId="0" applyNumberFormat="1" applyFill="1" applyBorder="1" applyAlignment="1" applyProtection="1">
      <alignment horizontal="center"/>
      <protection locked="0"/>
    </xf>
    <xf numFmtId="3" fontId="0" fillId="0" borderId="3" xfId="0" applyNumberFormat="1" applyBorder="1" applyAlignment="1">
      <alignment horizontal="center"/>
    </xf>
    <xf numFmtId="3" fontId="24" fillId="0" borderId="3" xfId="0" applyNumberFormat="1" applyFont="1" applyBorder="1" applyAlignment="1">
      <alignment horizontal="center"/>
    </xf>
    <xf numFmtId="3" fontId="17" fillId="9" borderId="3" xfId="0" applyNumberFormat="1" applyFont="1" applyFill="1" applyBorder="1" applyAlignment="1">
      <alignment horizontal="center"/>
    </xf>
    <xf numFmtId="0" fontId="15" fillId="11" borderId="3" xfId="0" applyFont="1" applyFill="1" applyBorder="1" applyAlignment="1">
      <alignment horizontal="left" vertical="center"/>
    </xf>
    <xf numFmtId="3" fontId="15" fillId="11" borderId="3" xfId="0" applyNumberFormat="1" applyFont="1" applyFill="1" applyBorder="1" applyAlignment="1">
      <alignment horizontal="center" vertical="center"/>
    </xf>
    <xf numFmtId="9" fontId="15" fillId="11" borderId="3" xfId="2" applyFont="1" applyFill="1" applyBorder="1" applyAlignment="1" applyProtection="1">
      <alignment horizontal="center" vertical="center"/>
    </xf>
    <xf numFmtId="170" fontId="11" fillId="11" borderId="3" xfId="0" applyNumberFormat="1" applyFont="1" applyFill="1" applyBorder="1" applyAlignment="1">
      <alignment horizontal="center" vertical="center"/>
    </xf>
    <xf numFmtId="0" fontId="11" fillId="11" borderId="3" xfId="0" applyFont="1" applyFill="1" applyBorder="1" applyAlignment="1">
      <alignment horizontal="center" vertical="center"/>
    </xf>
    <xf numFmtId="3" fontId="11" fillId="11" borderId="3" xfId="0" applyNumberFormat="1" applyFont="1" applyFill="1" applyBorder="1" applyAlignment="1">
      <alignment horizontal="center" vertical="center"/>
    </xf>
    <xf numFmtId="3" fontId="15" fillId="9" borderId="3" xfId="0" applyNumberFormat="1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 wrapText="1"/>
    </xf>
    <xf numFmtId="1" fontId="26" fillId="9" borderId="3" xfId="0" applyNumberFormat="1" applyFont="1" applyFill="1" applyBorder="1" applyAlignment="1">
      <alignment horizontal="center" vertical="center" wrapText="1"/>
    </xf>
    <xf numFmtId="172" fontId="0" fillId="4" borderId="3" xfId="0" applyNumberFormat="1" applyFill="1" applyBorder="1" applyAlignment="1">
      <alignment horizontal="center"/>
    </xf>
    <xf numFmtId="0" fontId="0" fillId="4" borderId="0" xfId="0" applyFill="1" applyBorder="1"/>
    <xf numFmtId="0" fontId="16" fillId="4" borderId="5" xfId="0" applyFont="1" applyFill="1" applyBorder="1" applyAlignment="1">
      <alignment horizontal="center" wrapText="1"/>
    </xf>
    <xf numFmtId="0" fontId="12" fillId="4" borderId="3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3" fontId="11" fillId="4" borderId="3" xfId="0" applyNumberFormat="1" applyFont="1" applyFill="1" applyBorder="1" applyAlignment="1" applyProtection="1">
      <alignment horizontal="center" vertical="center"/>
      <protection locked="0"/>
    </xf>
    <xf numFmtId="3" fontId="0" fillId="4" borderId="7" xfId="0" applyNumberFormat="1" applyFill="1" applyBorder="1"/>
    <xf numFmtId="0" fontId="12" fillId="4" borderId="3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 vertical="center" wrapText="1"/>
    </xf>
    <xf numFmtId="0" fontId="0" fillId="4" borderId="12" xfId="0" applyFill="1" applyBorder="1"/>
    <xf numFmtId="0" fontId="15" fillId="4" borderId="3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0" fontId="0" fillId="4" borderId="6" xfId="0" applyFill="1" applyBorder="1"/>
    <xf numFmtId="0" fontId="0" fillId="4" borderId="5" xfId="0" applyFill="1" applyBorder="1"/>
    <xf numFmtId="0" fontId="0" fillId="4" borderId="7" xfId="0" applyFill="1" applyBorder="1"/>
    <xf numFmtId="172" fontId="23" fillId="9" borderId="3" xfId="0" applyNumberFormat="1" applyFont="1" applyFill="1" applyBorder="1" applyAlignment="1">
      <alignment horizontal="center" vertical="center" wrapText="1"/>
    </xf>
    <xf numFmtId="0" fontId="23" fillId="7" borderId="3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/>
    </xf>
    <xf numFmtId="172" fontId="23" fillId="7" borderId="3" xfId="0" applyNumberFormat="1" applyFont="1" applyFill="1" applyBorder="1" applyAlignment="1">
      <alignment horizontal="center" vertical="center" wrapText="1"/>
    </xf>
    <xf numFmtId="9" fontId="23" fillId="7" borderId="3" xfId="2" applyFont="1" applyFill="1" applyBorder="1" applyAlignment="1" applyProtection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/>
    </xf>
    <xf numFmtId="0" fontId="28" fillId="0" borderId="0" xfId="19" applyFont="1" applyFill="1" applyAlignment="1"/>
    <xf numFmtId="0" fontId="29" fillId="0" borderId="0" xfId="20"/>
    <xf numFmtId="0" fontId="30" fillId="12" borderId="15" xfId="19" applyFont="1" applyFill="1" applyBorder="1" applyAlignment="1">
      <alignment horizontal="center"/>
    </xf>
    <xf numFmtId="0" fontId="31" fillId="0" borderId="15" xfId="19" applyFont="1" applyFill="1" applyBorder="1" applyAlignment="1">
      <alignment horizontal="center"/>
    </xf>
    <xf numFmtId="0" fontId="31" fillId="0" borderId="15" xfId="19" applyFont="1" applyFill="1" applyBorder="1" applyAlignment="1">
      <alignment horizontal="left"/>
    </xf>
    <xf numFmtId="0" fontId="31" fillId="0" borderId="15" xfId="19" applyFont="1" applyFill="1" applyBorder="1" applyAlignment="1">
      <alignment horizontal="center"/>
    </xf>
    <xf numFmtId="0" fontId="28" fillId="0" borderId="15" xfId="19" applyFont="1" applyFill="1" applyBorder="1" applyAlignment="1"/>
    <xf numFmtId="0" fontId="28" fillId="0" borderId="16" xfId="19" applyFont="1" applyFill="1" applyBorder="1" applyAlignment="1"/>
    <xf numFmtId="0" fontId="31" fillId="0" borderId="16" xfId="19" applyFont="1" applyFill="1" applyBorder="1" applyAlignment="1">
      <alignment horizontal="center"/>
    </xf>
    <xf numFmtId="0" fontId="32" fillId="0" borderId="17" xfId="19" applyFont="1" applyFill="1" applyBorder="1" applyAlignment="1">
      <alignment horizontal="center"/>
    </xf>
    <xf numFmtId="0" fontId="31" fillId="0" borderId="18" xfId="19" applyFont="1" applyFill="1" applyBorder="1" applyAlignment="1">
      <alignment horizontal="center"/>
    </xf>
    <xf numFmtId="0" fontId="32" fillId="0" borderId="15" xfId="19" applyFont="1" applyFill="1" applyBorder="1" applyAlignment="1">
      <alignment horizontal="center"/>
    </xf>
    <xf numFmtId="0" fontId="28" fillId="0" borderId="17" xfId="19" applyFont="1" applyFill="1" applyBorder="1" applyAlignment="1"/>
    <xf numFmtId="0" fontId="28" fillId="0" borderId="19" xfId="19" applyFont="1" applyFill="1" applyBorder="1" applyAlignment="1"/>
    <xf numFmtId="0" fontId="32" fillId="0" borderId="19" xfId="19" applyFont="1" applyFill="1" applyBorder="1" applyAlignment="1">
      <alignment horizontal="center"/>
    </xf>
    <xf numFmtId="0" fontId="32" fillId="13" borderId="15" xfId="19" applyFont="1" applyFill="1" applyBorder="1" applyAlignment="1">
      <alignment horizontal="center"/>
    </xf>
    <xf numFmtId="0" fontId="33" fillId="0" borderId="0" xfId="20" applyFont="1" applyFill="1" applyAlignment="1">
      <alignment horizontal="left" vertical="center"/>
    </xf>
    <xf numFmtId="0" fontId="29" fillId="0" borderId="0" xfId="20" applyFill="1" applyAlignment="1">
      <alignment horizontal="left" vertical="center"/>
    </xf>
    <xf numFmtId="175" fontId="0" fillId="0" borderId="0" xfId="21" applyFont="1" applyFill="1" applyAlignment="1"/>
  </cellXfs>
  <cellStyles count="22">
    <cellStyle name="cf1" xfId="3"/>
    <cellStyle name="cf10" xfId="4"/>
    <cellStyle name="cf11" xfId="5"/>
    <cellStyle name="cf12" xfId="6"/>
    <cellStyle name="cf2" xfId="7"/>
    <cellStyle name="cf3" xfId="8"/>
    <cellStyle name="cf4" xfId="9"/>
    <cellStyle name="cf5" xfId="10"/>
    <cellStyle name="cf6" xfId="11"/>
    <cellStyle name="cf7" xfId="12"/>
    <cellStyle name="cf8" xfId="13"/>
    <cellStyle name="cf9" xfId="14"/>
    <cellStyle name="Excel_BuiltIn_Comma" xfId="21"/>
    <cellStyle name="Normal" xfId="0" builtinId="0"/>
    <cellStyle name="Normal 2" xfId="19"/>
    <cellStyle name="Normal 3" xfId="20"/>
    <cellStyle name="Normal_Bovinos" xfId="15"/>
    <cellStyle name="Porcentagem" xfId="2" builtinId="5"/>
    <cellStyle name="Título 5" xfId="16"/>
    <cellStyle name="Título 6" xfId="17"/>
    <cellStyle name="Título 7" xfId="18"/>
    <cellStyle name="Vírgula" xfId="1" builtinId="3"/>
  </cellStyles>
  <dxfs count="77"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/>
        <i val="0"/>
        <sz val="8"/>
        <color rgb="FF339933"/>
      </font>
      <fill>
        <patternFill>
          <bgColor rgb="FFFFFFFF"/>
        </patternFill>
      </fill>
    </dxf>
    <dxf>
      <font>
        <b/>
        <i val="0"/>
        <sz val="8"/>
        <color rgb="FFFF0000"/>
      </font>
      <fill>
        <patternFill>
          <bgColor rgb="FFFFFFFF"/>
        </patternFill>
      </fill>
    </dxf>
    <dxf>
      <font>
        <b/>
        <i val="0"/>
        <sz val="8"/>
        <color rgb="FFFF0000"/>
      </font>
      <fill>
        <patternFill>
          <bgColor rgb="FFFFFFFF"/>
        </patternFill>
      </fill>
    </dxf>
    <dxf>
      <font>
        <b val="0"/>
        <sz val="8"/>
        <color rgb="FF000000"/>
      </font>
      <fill>
        <patternFill>
          <bgColor rgb="FFFFEFB4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/>
        <i val="0"/>
        <sz val="8"/>
        <color rgb="FF339933"/>
      </font>
      <fill>
        <patternFill>
          <bgColor rgb="FFFFFFFF"/>
        </patternFill>
      </fill>
    </dxf>
    <dxf>
      <font>
        <b/>
        <i val="0"/>
        <sz val="8"/>
        <color rgb="FFFF0000"/>
      </font>
      <fill>
        <patternFill>
          <bgColor rgb="FFFFFFFF"/>
        </patternFill>
      </fill>
    </dxf>
    <dxf>
      <font>
        <b/>
        <i val="0"/>
        <sz val="8"/>
        <color rgb="FFFF0000"/>
      </font>
      <fill>
        <patternFill>
          <bgColor rgb="FFFFFFFF"/>
        </patternFill>
      </fill>
    </dxf>
    <dxf>
      <font>
        <b val="0"/>
        <sz val="8"/>
        <color rgb="FF000000"/>
      </font>
      <fill>
        <patternFill>
          <bgColor rgb="FFFFEFB4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/>
        <i val="0"/>
        <sz val="8"/>
        <color rgb="FF339933"/>
      </font>
      <fill>
        <patternFill>
          <bgColor rgb="FFFFFFFF"/>
        </patternFill>
      </fill>
    </dxf>
    <dxf>
      <font>
        <b/>
        <i val="0"/>
        <sz val="8"/>
        <color rgb="FFFF0000"/>
      </font>
      <fill>
        <patternFill>
          <bgColor rgb="FFFFFFFF"/>
        </patternFill>
      </fill>
    </dxf>
    <dxf>
      <font>
        <b/>
        <i val="0"/>
        <sz val="8"/>
        <color rgb="FFFF0000"/>
      </font>
      <fill>
        <patternFill>
          <bgColor rgb="FFFFFFFF"/>
        </patternFill>
      </fill>
    </dxf>
    <dxf>
      <font>
        <b val="0"/>
        <sz val="8"/>
        <color rgb="FF000000"/>
      </font>
      <fill>
        <patternFill>
          <bgColor rgb="FFFFEFB4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/>
        <i val="0"/>
        <sz val="8"/>
        <color rgb="FF339933"/>
      </font>
      <fill>
        <patternFill>
          <bgColor rgb="FFFFFFFF"/>
        </patternFill>
      </fill>
    </dxf>
    <dxf>
      <font>
        <b/>
        <i val="0"/>
        <sz val="8"/>
        <color rgb="FFFF0000"/>
      </font>
      <fill>
        <patternFill>
          <bgColor rgb="FFFFFFFF"/>
        </patternFill>
      </fill>
    </dxf>
    <dxf>
      <font>
        <b/>
        <i val="0"/>
        <sz val="8"/>
        <color rgb="FFFF0000"/>
      </font>
      <fill>
        <patternFill>
          <bgColor rgb="FFFFFFFF"/>
        </patternFill>
      </fill>
    </dxf>
    <dxf>
      <font>
        <b val="0"/>
        <sz val="8"/>
        <color rgb="FF000000"/>
      </font>
      <fill>
        <patternFill>
          <bgColor rgb="FFFFEFB4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/>
        <i val="0"/>
        <sz val="8"/>
        <color rgb="FF339933"/>
      </font>
      <fill>
        <patternFill>
          <bgColor rgb="FFFFFFFF"/>
        </patternFill>
      </fill>
    </dxf>
    <dxf>
      <font>
        <b/>
        <i val="0"/>
        <sz val="8"/>
        <color rgb="FFFF0000"/>
      </font>
      <fill>
        <patternFill>
          <bgColor rgb="FFFFFFFF"/>
        </patternFill>
      </fill>
    </dxf>
    <dxf>
      <font>
        <b/>
        <i val="0"/>
        <sz val="8"/>
        <color rgb="FFFF0000"/>
      </font>
      <fill>
        <patternFill>
          <bgColor rgb="FFFFFFFF"/>
        </patternFill>
      </fill>
    </dxf>
    <dxf>
      <font>
        <b val="0"/>
        <sz val="8"/>
        <color rgb="FF000000"/>
      </font>
      <fill>
        <patternFill>
          <bgColor rgb="FFFFEFB4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/>
        <i val="0"/>
        <sz val="8"/>
        <color rgb="FF339933"/>
      </font>
      <fill>
        <patternFill>
          <bgColor rgb="FFFFFFFF"/>
        </patternFill>
      </fill>
    </dxf>
    <dxf>
      <font>
        <b/>
        <i val="0"/>
        <sz val="8"/>
        <color rgb="FFFF0000"/>
      </font>
      <fill>
        <patternFill>
          <bgColor rgb="FFFFFFFF"/>
        </patternFill>
      </fill>
    </dxf>
    <dxf>
      <font>
        <b/>
        <i val="0"/>
        <sz val="8"/>
        <color rgb="FFFF0000"/>
      </font>
      <fill>
        <patternFill>
          <bgColor rgb="FFFFFFFF"/>
        </patternFill>
      </fill>
    </dxf>
    <dxf>
      <font>
        <b val="0"/>
        <sz val="8"/>
        <color rgb="FF000000"/>
      </font>
      <fill>
        <patternFill>
          <bgColor rgb="FFFFEFB4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/>
        <i val="0"/>
        <sz val="8"/>
        <color rgb="FF339933"/>
      </font>
      <fill>
        <patternFill>
          <bgColor rgb="FFFFFFFF"/>
        </patternFill>
      </fill>
    </dxf>
    <dxf>
      <font>
        <b/>
        <i val="0"/>
        <sz val="8"/>
        <color rgb="FFFF0000"/>
      </font>
      <fill>
        <patternFill>
          <bgColor rgb="FFFFFFFF"/>
        </patternFill>
      </fill>
    </dxf>
    <dxf>
      <font>
        <b/>
        <i val="0"/>
        <sz val="8"/>
        <color rgb="FFFF0000"/>
      </font>
      <fill>
        <patternFill>
          <bgColor rgb="FFFFFFFF"/>
        </patternFill>
      </fill>
    </dxf>
    <dxf>
      <font>
        <b val="0"/>
        <sz val="8"/>
        <color rgb="FF000000"/>
      </font>
      <fill>
        <patternFill>
          <bgColor rgb="FFFFEFB4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/>
        <i val="0"/>
        <sz val="8"/>
        <color rgb="FF339933"/>
      </font>
      <fill>
        <patternFill>
          <bgColor rgb="FFFFFFFF"/>
        </patternFill>
      </fill>
    </dxf>
    <dxf>
      <font>
        <b/>
        <i val="0"/>
        <sz val="8"/>
        <color rgb="FFFF0000"/>
      </font>
      <fill>
        <patternFill>
          <bgColor rgb="FFFFFFFF"/>
        </patternFill>
      </fill>
    </dxf>
    <dxf>
      <font>
        <b/>
        <i val="0"/>
        <sz val="8"/>
        <color rgb="FFFF0000"/>
      </font>
      <fill>
        <patternFill>
          <bgColor rgb="FFFFFFFF"/>
        </patternFill>
      </fill>
    </dxf>
    <dxf>
      <font>
        <b val="0"/>
        <sz val="8"/>
        <color rgb="FF000000"/>
      </font>
      <fill>
        <patternFill>
          <bgColor rgb="FFFFEFB4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/>
        <i val="0"/>
        <sz val="8"/>
        <color rgb="FF339933"/>
      </font>
      <fill>
        <patternFill>
          <bgColor rgb="FFFFFFFF"/>
        </patternFill>
      </fill>
    </dxf>
    <dxf>
      <font>
        <b/>
        <i val="0"/>
        <sz val="8"/>
        <color rgb="FFFF0000"/>
      </font>
      <fill>
        <patternFill>
          <bgColor rgb="FFFFFFFF"/>
        </patternFill>
      </fill>
    </dxf>
    <dxf>
      <font>
        <b/>
        <i val="0"/>
        <sz val="8"/>
        <color rgb="FFFF0000"/>
      </font>
      <fill>
        <patternFill>
          <bgColor rgb="FFFFFFFF"/>
        </patternFill>
      </fill>
    </dxf>
    <dxf>
      <font>
        <b val="0"/>
        <sz val="8"/>
        <color rgb="FF000000"/>
      </font>
      <fill>
        <patternFill>
          <bgColor rgb="FFFFEFB4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/>
        <i val="0"/>
        <sz val="8"/>
        <color rgb="FF339933"/>
      </font>
      <fill>
        <patternFill>
          <bgColor rgb="FFFFFFFF"/>
        </patternFill>
      </fill>
    </dxf>
    <dxf>
      <font>
        <b/>
        <i val="0"/>
        <sz val="8"/>
        <color rgb="FFFF0000"/>
      </font>
      <fill>
        <patternFill>
          <bgColor rgb="FFFFFFFF"/>
        </patternFill>
      </fill>
    </dxf>
    <dxf>
      <font>
        <b/>
        <i val="0"/>
        <sz val="8"/>
        <color rgb="FFFF0000"/>
      </font>
      <fill>
        <patternFill>
          <bgColor rgb="FFFFFFFF"/>
        </patternFill>
      </fill>
    </dxf>
    <dxf>
      <font>
        <b val="0"/>
        <sz val="8"/>
        <color rgb="FF000000"/>
      </font>
      <fill>
        <patternFill>
          <bgColor rgb="FFFFEFB4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 val="0"/>
        <sz val="8"/>
        <color rgb="FF000000"/>
      </font>
      <fill>
        <patternFill>
          <bgColor rgb="FFFF0000"/>
        </patternFill>
      </fill>
    </dxf>
    <dxf>
      <font>
        <b/>
        <i val="0"/>
        <sz val="8"/>
        <color rgb="FF339933"/>
      </font>
      <fill>
        <patternFill>
          <bgColor rgb="FFFFFFFF"/>
        </patternFill>
      </fill>
    </dxf>
    <dxf>
      <font>
        <b/>
        <i val="0"/>
        <sz val="8"/>
        <color rgb="FFFF0000"/>
      </font>
      <fill>
        <patternFill>
          <bgColor rgb="FFFFFFFF"/>
        </patternFill>
      </fill>
    </dxf>
    <dxf>
      <font>
        <b/>
        <i val="0"/>
        <sz val="8"/>
        <color rgb="FFFF0000"/>
      </font>
      <fill>
        <patternFill>
          <bgColor rgb="FFFFFFFF"/>
        </patternFill>
      </fill>
    </dxf>
    <dxf>
      <font>
        <b val="0"/>
        <sz val="8"/>
        <color rgb="FF000000"/>
      </font>
      <fill>
        <patternFill>
          <bgColor rgb="FFFFEFB4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66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EFB4"/>
      <rgbColor rgb="FF99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99"/>
      <rgbColor rgb="FFCC99FF"/>
      <rgbColor rgb="FFFFCC99"/>
      <rgbColor rgb="FF3366FF"/>
      <rgbColor rgb="FF33CCCC"/>
      <rgbColor rgb="FF99FF33"/>
      <rgbColor rgb="FFFFCC00"/>
      <rgbColor rgb="FFFF9900"/>
      <rgbColor rgb="FFFF3333"/>
      <rgbColor rgb="FF666699"/>
      <rgbColor rgb="FF969696"/>
      <rgbColor rgb="FF003366"/>
      <rgbColor rgb="FF339933"/>
      <rgbColor rgb="FF003300"/>
      <rgbColor rgb="FF333300"/>
      <rgbColor rgb="FF993300"/>
      <rgbColor rgb="FF993366"/>
      <rgbColor rgb="FF333399"/>
      <rgbColor rgb="FF42424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81"/>
  <sheetViews>
    <sheetView showGridLines="0" tabSelected="1" zoomScaleNormal="100" workbookViewId="0">
      <pane xSplit="1" topLeftCell="B1" activePane="topRight" state="frozen"/>
      <selection pane="topRight" activeCell="A6" sqref="A6"/>
    </sheetView>
  </sheetViews>
  <sheetFormatPr defaultColWidth="6.1640625" defaultRowHeight="11.25"/>
  <cols>
    <col min="1" max="1" width="16.6640625" style="1" customWidth="1"/>
    <col min="2" max="7" width="7.1640625" style="1" customWidth="1"/>
    <col min="8" max="8" width="7.1640625" style="2" customWidth="1"/>
    <col min="9" max="9" width="1.83203125" style="1" customWidth="1"/>
    <col min="10" max="10" width="6.1640625" style="1"/>
    <col min="11" max="11" width="15.1640625" style="1" customWidth="1"/>
    <col min="12" max="12" width="7.1640625" style="3" customWidth="1"/>
    <col min="13" max="13" width="7.33203125" style="1" customWidth="1"/>
    <col min="14" max="14" width="8.1640625" style="1" customWidth="1"/>
    <col min="15" max="17" width="7.1640625" style="1" customWidth="1"/>
    <col min="18" max="18" width="6.1640625" style="1"/>
    <col min="19" max="19" width="12" style="1" hidden="1" customWidth="1"/>
    <col min="20" max="20" width="10.83203125" style="1" hidden="1" customWidth="1"/>
    <col min="21" max="33" width="0" style="1" hidden="1" customWidth="1"/>
    <col min="34" max="1024" width="6.1640625" style="1"/>
  </cols>
  <sheetData>
    <row r="1" spans="1:37" ht="12.75" customHeight="1">
      <c r="A1" s="4" t="s">
        <v>0</v>
      </c>
      <c r="B1" s="4"/>
      <c r="C1" s="4"/>
      <c r="D1" s="4"/>
      <c r="E1" s="4"/>
      <c r="F1" s="4"/>
      <c r="G1" s="4"/>
      <c r="R1" s="5"/>
      <c r="AB1" s="6" t="s">
        <v>1</v>
      </c>
    </row>
    <row r="2" spans="1:37" ht="12.75" customHeight="1">
      <c r="A2" s="4" t="s">
        <v>2</v>
      </c>
      <c r="B2" s="4"/>
      <c r="C2" s="4"/>
      <c r="D2" s="4"/>
      <c r="E2" s="4"/>
      <c r="F2" s="4"/>
      <c r="G2" s="4"/>
      <c r="O2" s="133"/>
      <c r="P2" s="133"/>
      <c r="R2" s="8"/>
    </row>
    <row r="3" spans="1:37" ht="12.75" customHeight="1">
      <c r="A3" s="4" t="s">
        <v>3</v>
      </c>
      <c r="B3" s="4"/>
      <c r="C3" s="4"/>
      <c r="D3" s="4"/>
      <c r="E3" s="4"/>
      <c r="F3" s="4"/>
      <c r="G3" s="4"/>
      <c r="O3" s="133"/>
      <c r="P3" s="133"/>
      <c r="AB3" s="9" t="s">
        <v>4</v>
      </c>
      <c r="AC3" s="9" t="s">
        <v>5</v>
      </c>
      <c r="AD3" s="9" t="s">
        <v>6</v>
      </c>
      <c r="AE3" s="9" t="s">
        <v>7</v>
      </c>
      <c r="AF3" s="9" t="s">
        <v>8</v>
      </c>
      <c r="AG3" s="9" t="s">
        <v>9</v>
      </c>
    </row>
    <row r="4" spans="1:37" ht="6" customHeight="1">
      <c r="A4" s="10"/>
      <c r="B4" s="10"/>
      <c r="C4" s="10"/>
      <c r="D4" s="10"/>
      <c r="E4" s="10"/>
      <c r="F4" s="10"/>
      <c r="G4" s="10"/>
      <c r="AB4" s="11">
        <v>5.4571443861038703E-2</v>
      </c>
      <c r="AC4" s="11">
        <v>6.9802942407916402E-2</v>
      </c>
      <c r="AD4" s="11">
        <v>1.7939864633768999E-2</v>
      </c>
      <c r="AE4" s="11">
        <v>0.11236766593132499</v>
      </c>
      <c r="AF4" s="12">
        <v>3.5556964120727601</v>
      </c>
      <c r="AG4" s="13">
        <v>15.867890282748601</v>
      </c>
    </row>
    <row r="5" spans="1:37" ht="20.25" customHeight="1">
      <c r="A5" s="14" t="s">
        <v>130</v>
      </c>
      <c r="B5" s="15"/>
      <c r="C5" s="15"/>
      <c r="D5" s="15"/>
      <c r="E5" s="15"/>
      <c r="F5" s="15"/>
      <c r="G5" s="15"/>
      <c r="S5" s="16" t="s">
        <v>11</v>
      </c>
      <c r="T5" s="17" t="s">
        <v>12</v>
      </c>
      <c r="AB5" s="11">
        <v>0.21828577544415501</v>
      </c>
      <c r="AC5" s="11">
        <v>0.279211769631666</v>
      </c>
      <c r="AD5" s="11">
        <v>7.1759458535075898E-2</v>
      </c>
      <c r="AE5" s="11">
        <v>0.44947066372529998</v>
      </c>
      <c r="AF5" s="12">
        <v>0.25864183526254297</v>
      </c>
      <c r="AG5" s="13">
        <v>2.12459016393443</v>
      </c>
    </row>
    <row r="6" spans="1:37" ht="16.5" customHeight="1">
      <c r="A6" s="18"/>
      <c r="S6" s="19" t="s">
        <v>13</v>
      </c>
      <c r="T6" s="19" t="s">
        <v>14</v>
      </c>
      <c r="U6" s="19" t="s">
        <v>15</v>
      </c>
      <c r="V6" s="19" t="s">
        <v>16</v>
      </c>
      <c r="W6" s="19" t="s">
        <v>17</v>
      </c>
      <c r="X6" s="19" t="s">
        <v>18</v>
      </c>
      <c r="Y6" s="19" t="s">
        <v>7</v>
      </c>
      <c r="Z6" s="19" t="s">
        <v>19</v>
      </c>
      <c r="AB6" s="11">
        <f>AB5/2</f>
        <v>0.1091428877220775</v>
      </c>
      <c r="AC6" s="11">
        <f>AC5/2</f>
        <v>0.139605884815833</v>
      </c>
      <c r="AD6" s="11">
        <f>AD5/2</f>
        <v>3.5879729267537949E-2</v>
      </c>
      <c r="AE6" s="11">
        <f>AE5/2</f>
        <v>0.22473533186264999</v>
      </c>
    </row>
    <row r="7" spans="1:37" s="22" customFormat="1" ht="18" customHeight="1">
      <c r="A7" s="20" t="s">
        <v>20</v>
      </c>
      <c r="B7" s="20" t="s">
        <v>21</v>
      </c>
      <c r="C7" s="21" t="s">
        <v>22</v>
      </c>
      <c r="D7" s="20"/>
      <c r="E7" s="20"/>
      <c r="F7" s="20"/>
      <c r="G7" s="20"/>
      <c r="H7" s="20"/>
      <c r="I7" s="20"/>
      <c r="J7" s="20" t="s">
        <v>23</v>
      </c>
      <c r="K7" s="20"/>
      <c r="L7" s="20"/>
      <c r="M7" s="20"/>
      <c r="N7" s="20"/>
      <c r="O7" s="20"/>
      <c r="P7" s="20"/>
      <c r="Q7" s="20"/>
      <c r="S7" s="23" t="str">
        <f t="shared" ref="S7:S21" si="0">+$T$5</f>
        <v>20/21</v>
      </c>
      <c r="T7" s="22" t="str">
        <f>+B7</f>
        <v>0395</v>
      </c>
      <c r="U7" s="24">
        <v>7014</v>
      </c>
      <c r="V7" s="24"/>
      <c r="W7" s="22">
        <f>K11</f>
        <v>8600</v>
      </c>
      <c r="Z7" s="25" t="s">
        <v>24</v>
      </c>
      <c r="AK7" s="26"/>
    </row>
    <row r="8" spans="1:37" s="1" customFormat="1" ht="6" customHeight="1">
      <c r="A8" s="27"/>
      <c r="B8" s="28"/>
      <c r="C8" s="29"/>
      <c r="D8" s="29"/>
      <c r="E8" s="29"/>
      <c r="F8" s="29"/>
      <c r="I8" s="30"/>
      <c r="M8" s="31"/>
      <c r="S8" s="32" t="str">
        <f t="shared" si="0"/>
        <v>20/21</v>
      </c>
      <c r="T8" s="1" t="str">
        <f t="shared" ref="T8:T21" si="1">+T7</f>
        <v>0395</v>
      </c>
      <c r="W8" s="13">
        <f>N11</f>
        <v>0</v>
      </c>
      <c r="Z8" s="1" t="s">
        <v>25</v>
      </c>
      <c r="AB8" s="33" t="s">
        <v>26</v>
      </c>
      <c r="AC8" s="34">
        <v>10</v>
      </c>
      <c r="AD8" s="33" t="s">
        <v>27</v>
      </c>
      <c r="AE8" s="35">
        <v>3.65</v>
      </c>
      <c r="AF8" s="33" t="s">
        <v>28</v>
      </c>
      <c r="AI8" s="36"/>
    </row>
    <row r="9" spans="1:37" ht="10.5" customHeight="1">
      <c r="A9" s="146"/>
      <c r="B9" s="139" t="s">
        <v>29</v>
      </c>
      <c r="C9" s="147" t="s">
        <v>30</v>
      </c>
      <c r="D9" s="147"/>
      <c r="E9" s="147" t="s">
        <v>31</v>
      </c>
      <c r="F9" s="147"/>
      <c r="G9" s="38"/>
      <c r="H9" s="147" t="s">
        <v>32</v>
      </c>
      <c r="J9" s="148"/>
      <c r="K9" s="147" t="s">
        <v>33</v>
      </c>
      <c r="L9" s="149"/>
      <c r="M9" s="150"/>
      <c r="N9" s="7"/>
      <c r="O9" s="39"/>
      <c r="Q9" s="143" t="s">
        <v>34</v>
      </c>
      <c r="S9" s="32" t="str">
        <f t="shared" si="0"/>
        <v>20/21</v>
      </c>
      <c r="T9" s="1" t="str">
        <f t="shared" si="1"/>
        <v>0395</v>
      </c>
      <c r="U9" s="40" t="s">
        <v>35</v>
      </c>
      <c r="V9" s="40"/>
      <c r="W9" s="40">
        <f>+B11</f>
        <v>11230</v>
      </c>
      <c r="X9" s="41">
        <f>+H17</f>
        <v>0</v>
      </c>
      <c r="Y9" s="40">
        <f>B17+C17</f>
        <v>0</v>
      </c>
      <c r="Z9" s="42" t="s">
        <v>36</v>
      </c>
      <c r="AB9" s="33" t="s">
        <v>37</v>
      </c>
      <c r="AC9" s="34">
        <v>2.5</v>
      </c>
      <c r="AD9" s="33" t="s">
        <v>27</v>
      </c>
      <c r="AE9" s="35">
        <v>0.91249999999999998</v>
      </c>
      <c r="AF9" s="33" t="s">
        <v>28</v>
      </c>
    </row>
    <row r="10" spans="1:37" ht="12" customHeight="1">
      <c r="A10" s="146"/>
      <c r="B10" s="139"/>
      <c r="C10" s="43" t="s">
        <v>38</v>
      </c>
      <c r="D10" s="43" t="s">
        <v>39</v>
      </c>
      <c r="E10" s="43" t="s">
        <v>38</v>
      </c>
      <c r="F10" s="43" t="s">
        <v>39</v>
      </c>
      <c r="G10" s="38"/>
      <c r="H10" s="147"/>
      <c r="J10" s="148"/>
      <c r="K10" s="147"/>
      <c r="L10" s="149"/>
      <c r="M10" s="150"/>
      <c r="N10" s="7"/>
      <c r="O10" s="39"/>
      <c r="Q10" s="143"/>
      <c r="S10" s="32" t="str">
        <f t="shared" si="0"/>
        <v>20/21</v>
      </c>
      <c r="T10" s="1" t="str">
        <f t="shared" si="1"/>
        <v>0395</v>
      </c>
      <c r="U10" s="40" t="s">
        <v>40</v>
      </c>
      <c r="V10" s="40"/>
      <c r="W10" s="44"/>
      <c r="X10" s="41">
        <f>H18</f>
        <v>0</v>
      </c>
      <c r="Y10" s="40">
        <f>B18+C18</f>
        <v>0</v>
      </c>
      <c r="Z10" s="42" t="s">
        <v>41</v>
      </c>
    </row>
    <row r="11" spans="1:37" ht="16.5" customHeight="1">
      <c r="A11" s="139" t="s">
        <v>42</v>
      </c>
      <c r="B11" s="140">
        <v>11230</v>
      </c>
      <c r="C11" s="45"/>
      <c r="D11" s="45"/>
      <c r="E11" s="45"/>
      <c r="F11" s="45"/>
      <c r="G11" s="46" t="str">
        <f>IF(SUM(C12:F12)=0,"",IF(SUM(C11:F11)&lt;1,"&lt;100%",IF(SUM(C11:F11)&gt;1,"&gt;100%","OK")))</f>
        <v/>
      </c>
      <c r="H11" s="47"/>
      <c r="I11" s="2"/>
      <c r="J11" s="48"/>
      <c r="K11" s="49">
        <f>'Leite_-_Produção'!U9</f>
        <v>8600</v>
      </c>
      <c r="L11" s="50"/>
      <c r="M11" s="141"/>
      <c r="N11" s="7"/>
      <c r="O11" s="51"/>
      <c r="Q11" s="52" t="str">
        <f>IF(OR(H11="",B11=""),"-",(D12+F12)/H11)</f>
        <v>-</v>
      </c>
      <c r="S11" s="32" t="str">
        <f t="shared" si="0"/>
        <v>20/21</v>
      </c>
      <c r="T11" s="1" t="str">
        <f t="shared" si="1"/>
        <v>0395</v>
      </c>
      <c r="U11" s="53">
        <v>7590</v>
      </c>
      <c r="V11" s="53"/>
      <c r="W11" s="44"/>
      <c r="X11" s="3">
        <f>+G17</f>
        <v>0</v>
      </c>
      <c r="Y11" s="40">
        <f>D17</f>
        <v>0</v>
      </c>
      <c r="Z11" s="54" t="s">
        <v>43</v>
      </c>
      <c r="AJ11" s="55"/>
    </row>
    <row r="12" spans="1:37" ht="16.5" customHeight="1">
      <c r="A12" s="139"/>
      <c r="B12" s="139"/>
      <c r="C12" s="56">
        <f>+C11*B11</f>
        <v>0</v>
      </c>
      <c r="D12" s="56">
        <f>+D11*B11</f>
        <v>0</v>
      </c>
      <c r="E12" s="56">
        <f>+E11*B11</f>
        <v>0</v>
      </c>
      <c r="F12" s="56">
        <f>+F11*B11</f>
        <v>0</v>
      </c>
      <c r="G12" s="38"/>
      <c r="H12" s="57"/>
      <c r="I12" s="2"/>
      <c r="J12" s="58"/>
      <c r="K12" s="57"/>
      <c r="L12" s="58"/>
      <c r="M12" s="141"/>
      <c r="N12" s="59"/>
      <c r="O12" s="60"/>
      <c r="P12" s="60"/>
      <c r="Q12" s="61"/>
      <c r="S12" s="32" t="str">
        <f t="shared" si="0"/>
        <v>20/21</v>
      </c>
      <c r="T12" s="1" t="str">
        <f t="shared" si="1"/>
        <v>0395</v>
      </c>
      <c r="U12" s="40" t="s">
        <v>44</v>
      </c>
      <c r="V12" s="40"/>
      <c r="W12" s="44"/>
      <c r="X12" s="44"/>
      <c r="Y12" s="40">
        <f>L17</f>
        <v>0</v>
      </c>
      <c r="Z12" s="42" t="s">
        <v>45</v>
      </c>
    </row>
    <row r="13" spans="1:37" ht="10.5" customHeight="1">
      <c r="A13" s="62"/>
      <c r="B13" s="63"/>
      <c r="C13" s="64"/>
      <c r="D13" s="64"/>
      <c r="E13" s="64"/>
      <c r="F13" s="64"/>
      <c r="G13" s="65"/>
      <c r="H13" s="60"/>
      <c r="I13" s="30"/>
      <c r="J13" s="60"/>
      <c r="K13" s="60"/>
      <c r="L13" s="60"/>
      <c r="M13" s="66"/>
      <c r="N13" s="60"/>
      <c r="O13" s="60"/>
      <c r="P13" s="60"/>
      <c r="Q13" s="60"/>
      <c r="S13" s="32" t="str">
        <f t="shared" si="0"/>
        <v>20/21</v>
      </c>
      <c r="T13" s="1" t="str">
        <f t="shared" si="1"/>
        <v>0395</v>
      </c>
      <c r="U13" s="40" t="s">
        <v>46</v>
      </c>
      <c r="V13" s="40"/>
      <c r="W13" s="44"/>
      <c r="X13" s="44"/>
      <c r="Y13" s="40">
        <f>L18</f>
        <v>0</v>
      </c>
      <c r="Z13" s="42" t="s">
        <v>47</v>
      </c>
    </row>
    <row r="14" spans="1:37" ht="16.5" customHeight="1">
      <c r="A14" s="137" t="s">
        <v>48</v>
      </c>
      <c r="B14" s="142" t="s">
        <v>49</v>
      </c>
      <c r="C14" s="142"/>
      <c r="D14" s="142"/>
      <c r="E14" s="142" t="s">
        <v>50</v>
      </c>
      <c r="F14" s="142"/>
      <c r="G14" s="142"/>
      <c r="H14" s="143" t="s">
        <v>51</v>
      </c>
      <c r="J14" s="144"/>
      <c r="K14" s="145" t="s">
        <v>48</v>
      </c>
      <c r="L14" s="142" t="s">
        <v>52</v>
      </c>
      <c r="M14" s="142"/>
      <c r="N14" s="142"/>
      <c r="O14" s="135" t="s">
        <v>53</v>
      </c>
      <c r="P14" s="135"/>
      <c r="Q14" s="135"/>
      <c r="S14" s="32" t="str">
        <f t="shared" si="0"/>
        <v>20/21</v>
      </c>
      <c r="T14" s="1" t="str">
        <f t="shared" si="1"/>
        <v>0395</v>
      </c>
      <c r="U14" s="40" t="s">
        <v>54</v>
      </c>
      <c r="V14" s="40"/>
      <c r="W14" s="44"/>
      <c r="X14" s="44"/>
      <c r="Y14" s="40">
        <f>M17</f>
        <v>0</v>
      </c>
      <c r="Z14" s="42" t="s">
        <v>55</v>
      </c>
      <c r="AJ14" s="55"/>
    </row>
    <row r="15" spans="1:37" ht="16.5" customHeight="1">
      <c r="A15" s="137"/>
      <c r="B15" s="136" t="s">
        <v>56</v>
      </c>
      <c r="C15" s="136" t="s">
        <v>57</v>
      </c>
      <c r="D15" s="136" t="s">
        <v>58</v>
      </c>
      <c r="E15" s="136" t="s">
        <v>56</v>
      </c>
      <c r="F15" s="136" t="s">
        <v>57</v>
      </c>
      <c r="G15" s="136" t="s">
        <v>58</v>
      </c>
      <c r="H15" s="143"/>
      <c r="J15" s="144"/>
      <c r="K15" s="145"/>
      <c r="L15" s="138" t="s">
        <v>59</v>
      </c>
      <c r="M15" s="138" t="s">
        <v>60</v>
      </c>
      <c r="N15" s="138" t="s">
        <v>61</v>
      </c>
      <c r="O15" s="135"/>
      <c r="P15" s="135"/>
      <c r="Q15" s="135"/>
      <c r="S15" s="32" t="str">
        <f t="shared" si="0"/>
        <v>20/21</v>
      </c>
      <c r="T15" s="1" t="str">
        <f t="shared" si="1"/>
        <v>0395</v>
      </c>
      <c r="U15" s="40" t="s">
        <v>62</v>
      </c>
      <c r="V15" s="40"/>
      <c r="Y15" s="40">
        <f>+M18</f>
        <v>0</v>
      </c>
      <c r="Z15" s="42" t="s">
        <v>63</v>
      </c>
    </row>
    <row r="16" spans="1:37" ht="18" customHeight="1">
      <c r="A16" s="137"/>
      <c r="B16" s="137"/>
      <c r="C16" s="137"/>
      <c r="D16" s="137"/>
      <c r="E16" s="137"/>
      <c r="F16" s="137"/>
      <c r="G16" s="137"/>
      <c r="H16" s="143"/>
      <c r="J16" s="144"/>
      <c r="K16" s="145"/>
      <c r="L16" s="138"/>
      <c r="M16" s="138"/>
      <c r="N16" s="138"/>
      <c r="O16" s="68" t="s">
        <v>64</v>
      </c>
      <c r="P16" s="68" t="s">
        <v>65</v>
      </c>
      <c r="Q16" s="68" t="s">
        <v>66</v>
      </c>
      <c r="R16" s="69" t="s">
        <v>67</v>
      </c>
      <c r="S16" s="32" t="str">
        <f t="shared" si="0"/>
        <v>20/21</v>
      </c>
      <c r="T16" s="1" t="str">
        <f t="shared" si="1"/>
        <v>0395</v>
      </c>
      <c r="U16" s="40" t="s">
        <v>68</v>
      </c>
      <c r="V16" s="40"/>
      <c r="Y16" s="40">
        <f>+N18</f>
        <v>0</v>
      </c>
      <c r="Z16" s="42" t="s">
        <v>69</v>
      </c>
      <c r="AI16" s="36"/>
    </row>
    <row r="17" spans="1:37" s="2" customFormat="1" ht="16.5" customHeight="1">
      <c r="A17" s="70" t="s">
        <v>70</v>
      </c>
      <c r="B17" s="71"/>
      <c r="C17" s="71"/>
      <c r="D17" s="72"/>
      <c r="E17" s="71"/>
      <c r="F17" s="71"/>
      <c r="G17" s="72"/>
      <c r="H17" s="73"/>
      <c r="J17" s="74">
        <f>B17*E17+C17*F17</f>
        <v>0</v>
      </c>
      <c r="K17" s="70" t="s">
        <v>70</v>
      </c>
      <c r="L17" s="71"/>
      <c r="M17" s="71"/>
      <c r="N17" s="71"/>
      <c r="O17" s="71"/>
      <c r="P17" s="71"/>
      <c r="Q17" s="71"/>
      <c r="R17" s="2">
        <f>H17/15</f>
        <v>0</v>
      </c>
      <c r="S17" s="75" t="str">
        <f t="shared" si="0"/>
        <v>20/21</v>
      </c>
      <c r="T17" s="2" t="str">
        <f t="shared" si="1"/>
        <v>0395</v>
      </c>
      <c r="U17" s="76">
        <v>7006</v>
      </c>
      <c r="V17" s="76"/>
      <c r="Y17" s="76">
        <f>O17</f>
        <v>0</v>
      </c>
      <c r="Z17" s="77" t="s">
        <v>71</v>
      </c>
    </row>
    <row r="18" spans="1:37" s="2" customFormat="1" ht="16.5" customHeight="1">
      <c r="A18" s="70" t="s">
        <v>72</v>
      </c>
      <c r="B18" s="71"/>
      <c r="C18" s="71"/>
      <c r="D18" s="78"/>
      <c r="E18" s="71"/>
      <c r="F18" s="71"/>
      <c r="G18" s="78"/>
      <c r="H18" s="73"/>
      <c r="J18" s="74">
        <f>B18*E18+C18*F18</f>
        <v>0</v>
      </c>
      <c r="K18" s="70" t="s">
        <v>72</v>
      </c>
      <c r="L18" s="71"/>
      <c r="M18" s="71"/>
      <c r="N18" s="79"/>
      <c r="O18" s="80"/>
      <c r="P18" s="81"/>
      <c r="Q18" s="81"/>
      <c r="R18" s="2">
        <f>H18/15</f>
        <v>0</v>
      </c>
      <c r="S18" s="75" t="str">
        <f t="shared" si="0"/>
        <v>20/21</v>
      </c>
      <c r="T18" s="2" t="str">
        <f t="shared" si="1"/>
        <v>0395</v>
      </c>
      <c r="U18" s="76">
        <v>7007</v>
      </c>
      <c r="V18" s="76"/>
      <c r="Y18" s="76">
        <f>P17</f>
        <v>0</v>
      </c>
      <c r="Z18" s="77" t="s">
        <v>73</v>
      </c>
    </row>
    <row r="19" spans="1:37" ht="18" customHeight="1">
      <c r="A19" s="67" t="s">
        <v>74</v>
      </c>
      <c r="B19" s="82">
        <f>IF(B11="","",(B18+B17)/B11)</f>
        <v>0</v>
      </c>
      <c r="C19" s="82">
        <f>IF(B11="","",(C18+C17)/B11)</f>
        <v>0</v>
      </c>
      <c r="D19" s="82">
        <f>IF(B11="","",(D18+D17)/B11)</f>
        <v>0</v>
      </c>
      <c r="E19" s="133" t="str">
        <f>IF(B11="","",IF(B19+C19+D19&gt;Bovinos!$AE$5," -&gt; índices (somados) acima da média",IF(B19+C19+D19&lt;Bovinos!$AE$4," -&gt; índices (somados) abaixo da média","")))</f>
        <v xml:space="preserve"> -&gt; índices (somados) abaixo da média</v>
      </c>
      <c r="F19" s="133"/>
      <c r="G19" s="133"/>
      <c r="H19" s="133"/>
      <c r="J19" s="83"/>
      <c r="K19" s="37" t="s">
        <v>74</v>
      </c>
      <c r="L19" s="84">
        <f>IF(B11="","-",(L18+L17)/B11)</f>
        <v>0</v>
      </c>
      <c r="M19" s="84">
        <f>IF(B11="","-",(M18+M17)/B11)</f>
        <v>0</v>
      </c>
      <c r="N19" s="84">
        <f>IF(B11="","-",(N18+N17+P17+O17+Q17)/B11)</f>
        <v>0</v>
      </c>
      <c r="O19" s="134" t="str">
        <f>IF(AND(L19="-",M19="-",N19="-"),"",IF(L19&gt;Bovinos!$AB$5," -&gt; índice(s) fora da faixa média",IF(L19&lt;Bovinos!$AB$4," -&gt; índice(s) fora da faixa média",IF(M19&gt;Bovinos!$AC$5," -&gt; índice(s) fora da faixa média",IF(M19&lt;Bovinos!$AC$4," -&gt; índice(s) fora da faixa média",IF(N19&gt;Bovinos!$AD$5," -&gt; índice(s) fora da faixa média",IF(N19&lt;Bovinos!$AD$4," -&gt; índice(s) fora da faixa média","")))))))</f>
        <v xml:space="preserve"> -&gt; índice(s) fora da faixa média</v>
      </c>
      <c r="P19" s="134"/>
      <c r="Q19" s="134"/>
      <c r="S19" s="32" t="str">
        <f t="shared" si="0"/>
        <v>20/21</v>
      </c>
      <c r="T19" s="1" t="str">
        <f t="shared" si="1"/>
        <v>0395</v>
      </c>
      <c r="U19" s="53">
        <v>7008</v>
      </c>
      <c r="V19" s="53"/>
      <c r="Y19" s="40">
        <f>Q17</f>
        <v>0</v>
      </c>
      <c r="Z19" s="54" t="s">
        <v>75</v>
      </c>
    </row>
    <row r="20" spans="1:37" s="85" customFormat="1" ht="23.25" customHeight="1">
      <c r="A20" s="85" t="s">
        <v>76</v>
      </c>
      <c r="B20" s="86">
        <f>B17+C17+D17</f>
        <v>0</v>
      </c>
      <c r="C20" s="86">
        <f>B18+C18</f>
        <v>0</v>
      </c>
      <c r="D20" s="86">
        <f>B20+C20</f>
        <v>0</v>
      </c>
      <c r="E20" s="87">
        <f>D20/B11</f>
        <v>0</v>
      </c>
      <c r="F20" s="88" t="e">
        <f>(C17+C18)/E12</f>
        <v>#DIV/0!</v>
      </c>
      <c r="S20" s="89" t="str">
        <f t="shared" si="0"/>
        <v>20/21</v>
      </c>
      <c r="T20" s="85" t="str">
        <f t="shared" si="1"/>
        <v>0395</v>
      </c>
      <c r="U20" s="90" t="s">
        <v>77</v>
      </c>
      <c r="V20" s="90"/>
      <c r="Y20" s="90">
        <f>+N17</f>
        <v>0</v>
      </c>
      <c r="Z20" s="91" t="s">
        <v>78</v>
      </c>
    </row>
    <row r="21" spans="1:37" s="92" customFormat="1" ht="18.2" customHeight="1">
      <c r="A21" s="92" t="s">
        <v>79</v>
      </c>
      <c r="B21" s="93" t="e">
        <f>SUM(B17:B18)/D20</f>
        <v>#DIV/0!</v>
      </c>
      <c r="C21" s="93" t="e">
        <f>SUM(C17:C18)/D20</f>
        <v>#DIV/0!</v>
      </c>
      <c r="D21" s="94">
        <f>C17+C18</f>
        <v>0</v>
      </c>
      <c r="E21" s="95" t="e">
        <f>F21/D20*100</f>
        <v>#DIV/0!</v>
      </c>
      <c r="F21" s="96">
        <f>193+167</f>
        <v>360</v>
      </c>
      <c r="G21" s="92" t="s">
        <v>80</v>
      </c>
      <c r="L21" s="97"/>
      <c r="S21" s="98" t="str">
        <f t="shared" si="0"/>
        <v>20/21</v>
      </c>
      <c r="T21" s="92" t="str">
        <f t="shared" si="1"/>
        <v>0395</v>
      </c>
      <c r="U21" s="99" t="s">
        <v>81</v>
      </c>
      <c r="V21" s="99">
        <f>+H11</f>
        <v>0</v>
      </c>
      <c r="Y21" s="99"/>
      <c r="Z21" s="100" t="s">
        <v>82</v>
      </c>
    </row>
    <row r="22" spans="1:37" ht="18.2" customHeight="1">
      <c r="S22" s="32"/>
      <c r="U22" s="40"/>
      <c r="V22" s="40"/>
      <c r="Y22" s="40"/>
      <c r="Z22" s="42"/>
    </row>
    <row r="23" spans="1:37" s="22" customFormat="1" ht="18" customHeight="1">
      <c r="A23" s="20" t="s">
        <v>20</v>
      </c>
      <c r="B23" s="20" t="s">
        <v>83</v>
      </c>
      <c r="C23" s="21" t="s">
        <v>84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S23" s="23" t="str">
        <f t="shared" ref="S23:S37" si="2">+$T$5</f>
        <v>20/21</v>
      </c>
      <c r="T23" s="22" t="str">
        <f>+B23</f>
        <v>0442</v>
      </c>
      <c r="U23" s="24">
        <v>7014</v>
      </c>
      <c r="V23" s="24"/>
      <c r="W23" s="22">
        <f>K27</f>
        <v>23400</v>
      </c>
      <c r="Z23" s="25" t="s">
        <v>24</v>
      </c>
      <c r="AK23" s="26"/>
    </row>
    <row r="24" spans="1:37" s="1" customFormat="1" ht="6" customHeight="1">
      <c r="A24" s="101"/>
      <c r="B24" s="28"/>
      <c r="C24" s="29"/>
      <c r="D24" s="29"/>
      <c r="E24" s="29"/>
      <c r="F24" s="29"/>
      <c r="I24" s="30"/>
      <c r="M24" s="31"/>
      <c r="S24" s="32" t="str">
        <f t="shared" si="2"/>
        <v>20/21</v>
      </c>
      <c r="T24" s="1" t="str">
        <f t="shared" ref="T24:T37" si="3">+T23</f>
        <v>0442</v>
      </c>
      <c r="W24" s="13">
        <f>N27</f>
        <v>0</v>
      </c>
      <c r="Z24" s="1" t="s">
        <v>25</v>
      </c>
    </row>
    <row r="25" spans="1:37" ht="10.5" customHeight="1">
      <c r="A25" s="146"/>
      <c r="B25" s="139" t="s">
        <v>29</v>
      </c>
      <c r="C25" s="147" t="s">
        <v>30</v>
      </c>
      <c r="D25" s="147"/>
      <c r="E25" s="147" t="s">
        <v>31</v>
      </c>
      <c r="F25" s="147"/>
      <c r="G25" s="38"/>
      <c r="H25" s="147" t="s">
        <v>32</v>
      </c>
      <c r="J25" s="148"/>
      <c r="K25" s="147" t="s">
        <v>33</v>
      </c>
      <c r="L25" s="149"/>
      <c r="M25" s="150"/>
      <c r="N25" s="7"/>
      <c r="O25" s="39"/>
      <c r="Q25" s="143" t="s">
        <v>34</v>
      </c>
      <c r="S25" s="32" t="str">
        <f t="shared" si="2"/>
        <v>20/21</v>
      </c>
      <c r="T25" s="1" t="str">
        <f t="shared" si="3"/>
        <v>0442</v>
      </c>
      <c r="U25" s="40" t="s">
        <v>35</v>
      </c>
      <c r="V25" s="40"/>
      <c r="W25" s="40">
        <f>+B27</f>
        <v>74900</v>
      </c>
      <c r="X25" s="41">
        <f>+H33</f>
        <v>0</v>
      </c>
      <c r="Y25" s="40">
        <f>B33+C33</f>
        <v>0</v>
      </c>
      <c r="Z25" s="42" t="s">
        <v>36</v>
      </c>
      <c r="AB25" s="22"/>
      <c r="AC25" s="22"/>
      <c r="AD25" s="22"/>
      <c r="AE25" s="22"/>
      <c r="AF25" s="22"/>
    </row>
    <row r="26" spans="1:37" ht="12" customHeight="1">
      <c r="A26" s="146"/>
      <c r="B26" s="139"/>
      <c r="C26" s="43" t="s">
        <v>38</v>
      </c>
      <c r="D26" s="43" t="s">
        <v>39</v>
      </c>
      <c r="E26" s="43" t="s">
        <v>38</v>
      </c>
      <c r="F26" s="43" t="s">
        <v>39</v>
      </c>
      <c r="G26" s="38"/>
      <c r="H26" s="147"/>
      <c r="J26" s="148"/>
      <c r="K26" s="147"/>
      <c r="L26" s="149"/>
      <c r="M26" s="150"/>
      <c r="N26" s="7"/>
      <c r="O26" s="39"/>
      <c r="Q26" s="143"/>
      <c r="S26" s="32" t="str">
        <f t="shared" si="2"/>
        <v>20/21</v>
      </c>
      <c r="T26" s="1" t="str">
        <f t="shared" si="3"/>
        <v>0442</v>
      </c>
      <c r="U26" s="40" t="s">
        <v>40</v>
      </c>
      <c r="V26" s="40"/>
      <c r="W26" s="44"/>
      <c r="X26" s="41">
        <f>H34</f>
        <v>0</v>
      </c>
      <c r="Y26" s="40">
        <f>B34+C34</f>
        <v>0</v>
      </c>
      <c r="Z26" s="42" t="s">
        <v>41</v>
      </c>
    </row>
    <row r="27" spans="1:37" ht="16.5" customHeight="1">
      <c r="A27" s="139" t="s">
        <v>42</v>
      </c>
      <c r="B27" s="140">
        <v>74900</v>
      </c>
      <c r="C27" s="45"/>
      <c r="D27" s="45"/>
      <c r="E27" s="45"/>
      <c r="F27" s="45"/>
      <c r="G27" s="46" t="str">
        <f>IF(SUM(C28:F28)=0,"",IF(SUM(C27:F27)&lt;1,"&lt;100%",IF(SUM(C27:F27)&gt;1,"&gt;100%","OK")))</f>
        <v/>
      </c>
      <c r="H27" s="47"/>
      <c r="I27" s="2"/>
      <c r="J27" s="48"/>
      <c r="K27" s="49">
        <f>'Leite_-_Produção'!U10</f>
        <v>23400</v>
      </c>
      <c r="L27" s="50"/>
      <c r="M27" s="141"/>
      <c r="N27" s="7"/>
      <c r="O27" s="51"/>
      <c r="Q27" s="52" t="str">
        <f>IF(OR(H27="",B27=""),"-",(D28+F28)/H27)</f>
        <v>-</v>
      </c>
      <c r="S27" s="32" t="str">
        <f t="shared" si="2"/>
        <v>20/21</v>
      </c>
      <c r="T27" s="1" t="str">
        <f t="shared" si="3"/>
        <v>0442</v>
      </c>
      <c r="U27" s="53">
        <v>7590</v>
      </c>
      <c r="V27" s="53"/>
      <c r="W27" s="44"/>
      <c r="X27" s="3">
        <f>+G33</f>
        <v>0</v>
      </c>
      <c r="Y27" s="40">
        <f>D33</f>
        <v>0</v>
      </c>
      <c r="Z27" s="54" t="s">
        <v>43</v>
      </c>
      <c r="AJ27" s="55"/>
    </row>
    <row r="28" spans="1:37" ht="16.5" customHeight="1">
      <c r="A28" s="139"/>
      <c r="B28" s="139"/>
      <c r="C28" s="56">
        <f>+C27*B27</f>
        <v>0</v>
      </c>
      <c r="D28" s="56">
        <f>+D27*B27</f>
        <v>0</v>
      </c>
      <c r="E28" s="56">
        <f>+E27*B27</f>
        <v>0</v>
      </c>
      <c r="F28" s="56">
        <f>+F27*B27</f>
        <v>0</v>
      </c>
      <c r="G28" s="38"/>
      <c r="H28" s="57"/>
      <c r="I28" s="2"/>
      <c r="J28" s="58"/>
      <c r="K28" s="57"/>
      <c r="L28" s="58"/>
      <c r="M28" s="141"/>
      <c r="N28" s="59"/>
      <c r="O28" s="60"/>
      <c r="P28" s="60"/>
      <c r="Q28" s="61"/>
      <c r="S28" s="32" t="str">
        <f t="shared" si="2"/>
        <v>20/21</v>
      </c>
      <c r="T28" s="1" t="str">
        <f t="shared" si="3"/>
        <v>0442</v>
      </c>
      <c r="U28" s="40" t="s">
        <v>44</v>
      </c>
      <c r="V28" s="40"/>
      <c r="W28" s="44"/>
      <c r="X28" s="44"/>
      <c r="Y28" s="40">
        <f>L33</f>
        <v>0</v>
      </c>
      <c r="Z28" s="42" t="s">
        <v>45</v>
      </c>
    </row>
    <row r="29" spans="1:37" ht="10.5" customHeight="1">
      <c r="A29" s="62"/>
      <c r="B29" s="63"/>
      <c r="C29" s="64"/>
      <c r="D29" s="64"/>
      <c r="E29" s="64"/>
      <c r="F29" s="64"/>
      <c r="G29" s="65"/>
      <c r="H29" s="60"/>
      <c r="I29" s="30"/>
      <c r="J29" s="60"/>
      <c r="K29" s="60"/>
      <c r="L29" s="60"/>
      <c r="M29" s="66"/>
      <c r="N29" s="60"/>
      <c r="O29" s="60"/>
      <c r="P29" s="60"/>
      <c r="Q29" s="60"/>
      <c r="S29" s="32" t="str">
        <f t="shared" si="2"/>
        <v>20/21</v>
      </c>
      <c r="T29" s="1" t="str">
        <f t="shared" si="3"/>
        <v>0442</v>
      </c>
      <c r="U29" s="40" t="s">
        <v>46</v>
      </c>
      <c r="V29" s="40"/>
      <c r="W29" s="44"/>
      <c r="X29" s="44"/>
      <c r="Y29" s="40">
        <f>L34</f>
        <v>0</v>
      </c>
      <c r="Z29" s="42" t="s">
        <v>47</v>
      </c>
    </row>
    <row r="30" spans="1:37" ht="16.5" customHeight="1">
      <c r="A30" s="137" t="s">
        <v>48</v>
      </c>
      <c r="B30" s="142" t="s">
        <v>49</v>
      </c>
      <c r="C30" s="142"/>
      <c r="D30" s="142"/>
      <c r="E30" s="142" t="s">
        <v>50</v>
      </c>
      <c r="F30" s="142"/>
      <c r="G30" s="142"/>
      <c r="H30" s="143" t="s">
        <v>51</v>
      </c>
      <c r="J30" s="144"/>
      <c r="K30" s="145" t="s">
        <v>48</v>
      </c>
      <c r="L30" s="142" t="s">
        <v>52</v>
      </c>
      <c r="M30" s="142"/>
      <c r="N30" s="142"/>
      <c r="O30" s="135" t="s">
        <v>53</v>
      </c>
      <c r="P30" s="135"/>
      <c r="Q30" s="135"/>
      <c r="S30" s="32" t="str">
        <f t="shared" si="2"/>
        <v>20/21</v>
      </c>
      <c r="T30" s="1" t="str">
        <f t="shared" si="3"/>
        <v>0442</v>
      </c>
      <c r="U30" s="40" t="s">
        <v>54</v>
      </c>
      <c r="V30" s="40"/>
      <c r="W30" s="44"/>
      <c r="X30" s="44"/>
      <c r="Y30" s="40">
        <f>M33</f>
        <v>0</v>
      </c>
      <c r="Z30" s="42" t="s">
        <v>55</v>
      </c>
      <c r="AJ30" s="55"/>
    </row>
    <row r="31" spans="1:37" ht="16.5" customHeight="1">
      <c r="A31" s="137"/>
      <c r="B31" s="136" t="s">
        <v>56</v>
      </c>
      <c r="C31" s="136" t="s">
        <v>57</v>
      </c>
      <c r="D31" s="136" t="s">
        <v>58</v>
      </c>
      <c r="E31" s="136" t="s">
        <v>56</v>
      </c>
      <c r="F31" s="136" t="s">
        <v>57</v>
      </c>
      <c r="G31" s="136" t="s">
        <v>58</v>
      </c>
      <c r="H31" s="143"/>
      <c r="J31" s="144"/>
      <c r="K31" s="145"/>
      <c r="L31" s="138" t="s">
        <v>59</v>
      </c>
      <c r="M31" s="138" t="s">
        <v>60</v>
      </c>
      <c r="N31" s="138" t="s">
        <v>61</v>
      </c>
      <c r="O31" s="135"/>
      <c r="P31" s="135"/>
      <c r="Q31" s="135"/>
      <c r="S31" s="32" t="str">
        <f t="shared" si="2"/>
        <v>20/21</v>
      </c>
      <c r="T31" s="1" t="str">
        <f t="shared" si="3"/>
        <v>0442</v>
      </c>
      <c r="U31" s="40" t="s">
        <v>62</v>
      </c>
      <c r="V31" s="40"/>
      <c r="Y31" s="40">
        <f>+M34</f>
        <v>0</v>
      </c>
      <c r="Z31" s="42" t="s">
        <v>63</v>
      </c>
    </row>
    <row r="32" spans="1:37" ht="18" customHeight="1">
      <c r="A32" s="137"/>
      <c r="B32" s="137"/>
      <c r="C32" s="137"/>
      <c r="D32" s="137"/>
      <c r="E32" s="137"/>
      <c r="F32" s="137"/>
      <c r="G32" s="137"/>
      <c r="H32" s="143"/>
      <c r="J32" s="144"/>
      <c r="K32" s="145"/>
      <c r="L32" s="138"/>
      <c r="M32" s="138"/>
      <c r="N32" s="138"/>
      <c r="O32" s="68" t="s">
        <v>64</v>
      </c>
      <c r="P32" s="68" t="s">
        <v>65</v>
      </c>
      <c r="Q32" s="68" t="s">
        <v>66</v>
      </c>
      <c r="R32" s="69" t="s">
        <v>67</v>
      </c>
      <c r="S32" s="32" t="str">
        <f t="shared" si="2"/>
        <v>20/21</v>
      </c>
      <c r="T32" s="1" t="str">
        <f t="shared" si="3"/>
        <v>0442</v>
      </c>
      <c r="U32" s="40" t="s">
        <v>68</v>
      </c>
      <c r="V32" s="40"/>
      <c r="Y32" s="40">
        <f>+N34</f>
        <v>0</v>
      </c>
      <c r="Z32" s="42" t="s">
        <v>69</v>
      </c>
      <c r="AI32" s="36"/>
    </row>
    <row r="33" spans="1:37" s="2" customFormat="1" ht="16.5" customHeight="1">
      <c r="A33" s="70" t="s">
        <v>70</v>
      </c>
      <c r="B33" s="71"/>
      <c r="C33" s="71"/>
      <c r="D33" s="72"/>
      <c r="E33" s="71"/>
      <c r="F33" s="71"/>
      <c r="G33" s="72"/>
      <c r="H33" s="73"/>
      <c r="J33" s="74">
        <f>B33*E33+C33*F33</f>
        <v>0</v>
      </c>
      <c r="K33" s="70" t="s">
        <v>70</v>
      </c>
      <c r="L33" s="71"/>
      <c r="M33" s="71"/>
      <c r="N33" s="71"/>
      <c r="O33" s="71"/>
      <c r="P33" s="71"/>
      <c r="Q33" s="71"/>
      <c r="R33" s="2">
        <f>H33/15</f>
        <v>0</v>
      </c>
      <c r="S33" s="75" t="str">
        <f t="shared" si="2"/>
        <v>20/21</v>
      </c>
      <c r="T33" s="2" t="str">
        <f t="shared" si="3"/>
        <v>0442</v>
      </c>
      <c r="U33" s="76">
        <v>7006</v>
      </c>
      <c r="V33" s="76"/>
      <c r="Y33" s="76">
        <f>O33</f>
        <v>0</v>
      </c>
      <c r="Z33" s="77" t="s">
        <v>71</v>
      </c>
    </row>
    <row r="34" spans="1:37" s="2" customFormat="1" ht="16.5" customHeight="1">
      <c r="A34" s="70" t="s">
        <v>72</v>
      </c>
      <c r="B34" s="71"/>
      <c r="C34" s="71"/>
      <c r="D34" s="78"/>
      <c r="E34" s="71"/>
      <c r="F34" s="71"/>
      <c r="G34" s="78"/>
      <c r="H34" s="73"/>
      <c r="J34" s="74">
        <f>B34*E34+C34*F34</f>
        <v>0</v>
      </c>
      <c r="K34" s="70" t="s">
        <v>72</v>
      </c>
      <c r="L34" s="71"/>
      <c r="M34" s="71"/>
      <c r="N34" s="79"/>
      <c r="O34" s="80"/>
      <c r="P34" s="81"/>
      <c r="Q34" s="81"/>
      <c r="R34" s="2">
        <f>H34/15</f>
        <v>0</v>
      </c>
      <c r="S34" s="75" t="str">
        <f t="shared" si="2"/>
        <v>20/21</v>
      </c>
      <c r="T34" s="2" t="str">
        <f t="shared" si="3"/>
        <v>0442</v>
      </c>
      <c r="U34" s="76">
        <v>7007</v>
      </c>
      <c r="V34" s="76"/>
      <c r="Y34" s="76">
        <f>P33</f>
        <v>0</v>
      </c>
      <c r="Z34" s="77" t="s">
        <v>73</v>
      </c>
    </row>
    <row r="35" spans="1:37" ht="18" customHeight="1">
      <c r="A35" s="67" t="s">
        <v>74</v>
      </c>
      <c r="B35" s="82">
        <f>IF(B27="","",(B34+B33)/B27)</f>
        <v>0</v>
      </c>
      <c r="C35" s="82">
        <f>IF(B27="","",(C34+C33)/B27)</f>
        <v>0</v>
      </c>
      <c r="D35" s="82">
        <f>IF(B27="","",(D34+D33)/B27)</f>
        <v>0</v>
      </c>
      <c r="E35" s="133" t="str">
        <f>IF(B27="","",IF(B35+C35+D35&gt;Bovinos!$AE$5," -&gt; índices (somados) acima da média",IF(B35+C35+D35&lt;Bovinos!$AE$4," -&gt; índices (somados) abaixo da média","")))</f>
        <v xml:space="preserve"> -&gt; índices (somados) abaixo da média</v>
      </c>
      <c r="F35" s="133"/>
      <c r="G35" s="133"/>
      <c r="H35" s="133"/>
      <c r="J35" s="83"/>
      <c r="K35" s="37" t="s">
        <v>74</v>
      </c>
      <c r="L35" s="84">
        <f>IF(B27="","-",(L34+L33)/B27)</f>
        <v>0</v>
      </c>
      <c r="M35" s="84">
        <f>IF(B27="","-",(M34+M33)/B27)</f>
        <v>0</v>
      </c>
      <c r="N35" s="84">
        <f>IF(B27="","-",(N34+N33+P33+O33+Q33)/B27)</f>
        <v>0</v>
      </c>
      <c r="O35" s="134" t="str">
        <f>IF(AND(L35="-",M35="-",N35="-"),"",IF(L35&gt;Bovinos!$AB$5," -&gt; índice(s) fora da faixa média",IF(L35&lt;Bovinos!$AB$4," -&gt; índice(s) fora da faixa média",IF(M35&gt;Bovinos!$AC$5," -&gt; índice(s) fora da faixa média",IF(M35&lt;Bovinos!$AC$4," -&gt; índice(s) fora da faixa média",IF(N35&gt;Bovinos!$AD$5," -&gt; índice(s) fora da faixa média",IF(N35&lt;Bovinos!$AD$4," -&gt; índice(s) fora da faixa média","")))))))</f>
        <v xml:space="preserve"> -&gt; índice(s) fora da faixa média</v>
      </c>
      <c r="P35" s="134"/>
      <c r="Q35" s="134"/>
      <c r="S35" s="32" t="str">
        <f t="shared" si="2"/>
        <v>20/21</v>
      </c>
      <c r="T35" s="1" t="str">
        <f t="shared" si="3"/>
        <v>0442</v>
      </c>
      <c r="U35" s="53">
        <v>7008</v>
      </c>
      <c r="V35" s="53"/>
      <c r="Y35" s="40">
        <f>Q33</f>
        <v>0</v>
      </c>
      <c r="Z35" s="54" t="s">
        <v>75</v>
      </c>
    </row>
    <row r="36" spans="1:37" s="85" customFormat="1" ht="23.25" customHeight="1">
      <c r="A36" s="85" t="s">
        <v>76</v>
      </c>
      <c r="B36" s="86">
        <f>B33+C33+D33</f>
        <v>0</v>
      </c>
      <c r="C36" s="86">
        <f>B34+C34</f>
        <v>0</v>
      </c>
      <c r="D36" s="86">
        <f>B36+C36</f>
        <v>0</v>
      </c>
      <c r="E36" s="87">
        <f>D36/B27</f>
        <v>0</v>
      </c>
      <c r="F36" s="88" t="e">
        <f>(C33+C34)/E28</f>
        <v>#DIV/0!</v>
      </c>
      <c r="S36" s="89" t="str">
        <f t="shared" si="2"/>
        <v>20/21</v>
      </c>
      <c r="T36" s="85" t="str">
        <f t="shared" si="3"/>
        <v>0442</v>
      </c>
      <c r="U36" s="90" t="s">
        <v>77</v>
      </c>
      <c r="V36" s="90"/>
      <c r="Y36" s="90">
        <f>+N33</f>
        <v>0</v>
      </c>
      <c r="Z36" s="91" t="s">
        <v>78</v>
      </c>
    </row>
    <row r="37" spans="1:37" s="92" customFormat="1" ht="18.2" customHeight="1">
      <c r="A37" s="92" t="s">
        <v>79</v>
      </c>
      <c r="B37" s="93" t="e">
        <f>SUM(B33:B34)/D36</f>
        <v>#DIV/0!</v>
      </c>
      <c r="C37" s="93" t="e">
        <f>SUM(C33:C34)/D36</f>
        <v>#DIV/0!</v>
      </c>
      <c r="D37" s="94">
        <f>C33+C34</f>
        <v>0</v>
      </c>
      <c r="E37" s="95" t="e">
        <f>F37/D36*100</f>
        <v>#DIV/0!</v>
      </c>
      <c r="F37" s="96">
        <f>1691+1003+249+196</f>
        <v>3139</v>
      </c>
      <c r="G37" s="92" t="s">
        <v>80</v>
      </c>
      <c r="L37" s="97"/>
      <c r="S37" s="98" t="str">
        <f t="shared" si="2"/>
        <v>20/21</v>
      </c>
      <c r="T37" s="92" t="str">
        <f t="shared" si="3"/>
        <v>0442</v>
      </c>
      <c r="U37" s="99" t="s">
        <v>81</v>
      </c>
      <c r="V37" s="99">
        <f>+H27</f>
        <v>0</v>
      </c>
      <c r="Y37" s="99"/>
      <c r="Z37" s="100" t="s">
        <v>82</v>
      </c>
    </row>
    <row r="38" spans="1:37" ht="18.2" customHeight="1">
      <c r="S38" s="32"/>
      <c r="U38" s="40"/>
      <c r="V38" s="40"/>
      <c r="Y38" s="40"/>
      <c r="Z38" s="42"/>
    </row>
    <row r="39" spans="1:37" s="22" customFormat="1" ht="18" customHeight="1">
      <c r="A39" s="20" t="s">
        <v>20</v>
      </c>
      <c r="B39" s="20" t="s">
        <v>85</v>
      </c>
      <c r="C39" s="21" t="s">
        <v>86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S39" s="23" t="str">
        <f t="shared" ref="S39:S53" si="4">+$T$5</f>
        <v>20/21</v>
      </c>
      <c r="T39" s="22" t="str">
        <f>+B39</f>
        <v>0445</v>
      </c>
      <c r="U39" s="24">
        <v>7014</v>
      </c>
      <c r="V39" s="24"/>
      <c r="W39" s="22">
        <f>K43</f>
        <v>16200</v>
      </c>
      <c r="Z39" s="25" t="s">
        <v>24</v>
      </c>
      <c r="AK39" s="26"/>
    </row>
    <row r="40" spans="1:37" s="1" customFormat="1" ht="6" customHeight="1">
      <c r="A40" s="101"/>
      <c r="B40" s="28"/>
      <c r="C40" s="29"/>
      <c r="D40" s="29"/>
      <c r="E40" s="29"/>
      <c r="F40" s="29"/>
      <c r="I40" s="30"/>
      <c r="M40" s="31"/>
      <c r="S40" s="32" t="str">
        <f t="shared" si="4"/>
        <v>20/21</v>
      </c>
      <c r="T40" s="1" t="str">
        <f t="shared" ref="T40:T53" si="5">+T39</f>
        <v>0445</v>
      </c>
      <c r="W40" s="13">
        <f>N43</f>
        <v>0</v>
      </c>
      <c r="Z40" s="1" t="s">
        <v>25</v>
      </c>
    </row>
    <row r="41" spans="1:37" ht="10.5" customHeight="1">
      <c r="A41" s="146"/>
      <c r="B41" s="139" t="s">
        <v>29</v>
      </c>
      <c r="C41" s="147" t="s">
        <v>30</v>
      </c>
      <c r="D41" s="147"/>
      <c r="E41" s="147" t="s">
        <v>31</v>
      </c>
      <c r="F41" s="147"/>
      <c r="G41" s="38"/>
      <c r="H41" s="147" t="s">
        <v>32</v>
      </c>
      <c r="J41" s="148"/>
      <c r="K41" s="147" t="s">
        <v>33</v>
      </c>
      <c r="L41" s="149"/>
      <c r="M41" s="150"/>
      <c r="N41" s="7"/>
      <c r="O41" s="39"/>
      <c r="Q41" s="143" t="s">
        <v>34</v>
      </c>
      <c r="S41" s="32" t="str">
        <f t="shared" si="4"/>
        <v>20/21</v>
      </c>
      <c r="T41" s="1" t="str">
        <f t="shared" si="5"/>
        <v>0445</v>
      </c>
      <c r="U41" s="40" t="s">
        <v>35</v>
      </c>
      <c r="V41" s="40"/>
      <c r="W41" s="40">
        <f>+B43</f>
        <v>34900</v>
      </c>
      <c r="X41" s="41">
        <f>+H49</f>
        <v>0</v>
      </c>
      <c r="Y41" s="40">
        <f>B49+C49</f>
        <v>0</v>
      </c>
      <c r="Z41" s="42" t="s">
        <v>36</v>
      </c>
      <c r="AB41" s="22"/>
      <c r="AC41" s="22"/>
      <c r="AD41" s="22"/>
      <c r="AE41" s="22"/>
      <c r="AF41" s="22"/>
    </row>
    <row r="42" spans="1:37" ht="12" customHeight="1">
      <c r="A42" s="146"/>
      <c r="B42" s="139"/>
      <c r="C42" s="43" t="s">
        <v>38</v>
      </c>
      <c r="D42" s="43" t="s">
        <v>39</v>
      </c>
      <c r="E42" s="43" t="s">
        <v>38</v>
      </c>
      <c r="F42" s="43" t="s">
        <v>39</v>
      </c>
      <c r="G42" s="38"/>
      <c r="H42" s="147"/>
      <c r="J42" s="148"/>
      <c r="K42" s="147"/>
      <c r="L42" s="149"/>
      <c r="M42" s="150"/>
      <c r="N42" s="7"/>
      <c r="O42" s="39"/>
      <c r="Q42" s="143"/>
      <c r="S42" s="32" t="str">
        <f t="shared" si="4"/>
        <v>20/21</v>
      </c>
      <c r="T42" s="1" t="str">
        <f t="shared" si="5"/>
        <v>0445</v>
      </c>
      <c r="U42" s="40" t="s">
        <v>40</v>
      </c>
      <c r="V42" s="40"/>
      <c r="W42" s="44"/>
      <c r="X42" s="41">
        <f>H50</f>
        <v>0</v>
      </c>
      <c r="Y42" s="40">
        <f>B50+C50</f>
        <v>0</v>
      </c>
      <c r="Z42" s="42" t="s">
        <v>41</v>
      </c>
    </row>
    <row r="43" spans="1:37" ht="16.5" customHeight="1">
      <c r="A43" s="139" t="s">
        <v>42</v>
      </c>
      <c r="B43" s="140">
        <v>34900</v>
      </c>
      <c r="C43" s="45"/>
      <c r="D43" s="45"/>
      <c r="E43" s="45"/>
      <c r="F43" s="45"/>
      <c r="G43" s="46" t="str">
        <f>IF(SUM(C44:F44)=0,"",IF(SUM(C43:F43)&lt;1,"&lt;100%",IF(SUM(C43:F43)&gt;1,"&gt;100%","OK")))</f>
        <v/>
      </c>
      <c r="H43" s="47"/>
      <c r="I43" s="2"/>
      <c r="J43" s="48"/>
      <c r="K43" s="49">
        <f>'Leite_-_Produção'!U11</f>
        <v>16200</v>
      </c>
      <c r="L43" s="50"/>
      <c r="M43" s="141"/>
      <c r="N43" s="7"/>
      <c r="O43" s="51"/>
      <c r="Q43" s="52" t="str">
        <f>IF(OR(H43="",B43=""),"-",(D44+F44)/H43)</f>
        <v>-</v>
      </c>
      <c r="S43" s="32" t="str">
        <f t="shared" si="4"/>
        <v>20/21</v>
      </c>
      <c r="T43" s="1" t="str">
        <f t="shared" si="5"/>
        <v>0445</v>
      </c>
      <c r="U43" s="53">
        <v>7590</v>
      </c>
      <c r="V43" s="53"/>
      <c r="W43" s="44"/>
      <c r="X43" s="3">
        <f>+G49</f>
        <v>0</v>
      </c>
      <c r="Y43" s="40">
        <f>D49</f>
        <v>0</v>
      </c>
      <c r="Z43" s="54" t="s">
        <v>43</v>
      </c>
      <c r="AJ43" s="55"/>
    </row>
    <row r="44" spans="1:37" ht="16.5" customHeight="1">
      <c r="A44" s="139"/>
      <c r="B44" s="139"/>
      <c r="C44" s="56">
        <f>+C43*B43</f>
        <v>0</v>
      </c>
      <c r="D44" s="56">
        <f>+D43*B43</f>
        <v>0</v>
      </c>
      <c r="E44" s="56">
        <f>+E43*B43</f>
        <v>0</v>
      </c>
      <c r="F44" s="56">
        <f>+F43*B43</f>
        <v>0</v>
      </c>
      <c r="G44" s="38"/>
      <c r="H44" s="57"/>
      <c r="I44" s="2"/>
      <c r="J44" s="58"/>
      <c r="K44" s="57"/>
      <c r="L44" s="58"/>
      <c r="M44" s="141"/>
      <c r="N44" s="59"/>
      <c r="O44" s="60"/>
      <c r="P44" s="60"/>
      <c r="Q44" s="61"/>
      <c r="S44" s="32" t="str">
        <f t="shared" si="4"/>
        <v>20/21</v>
      </c>
      <c r="T44" s="1" t="str">
        <f t="shared" si="5"/>
        <v>0445</v>
      </c>
      <c r="U44" s="40" t="s">
        <v>44</v>
      </c>
      <c r="V44" s="40"/>
      <c r="W44" s="44"/>
      <c r="X44" s="44"/>
      <c r="Y44" s="40">
        <f>L49</f>
        <v>0</v>
      </c>
      <c r="Z44" s="42" t="s">
        <v>45</v>
      </c>
    </row>
    <row r="45" spans="1:37" ht="10.5" customHeight="1">
      <c r="A45" s="62"/>
      <c r="B45" s="63"/>
      <c r="C45" s="64"/>
      <c r="D45" s="64"/>
      <c r="E45" s="64"/>
      <c r="F45" s="64"/>
      <c r="G45" s="65"/>
      <c r="H45" s="60"/>
      <c r="I45" s="30"/>
      <c r="J45" s="60"/>
      <c r="K45" s="60"/>
      <c r="L45" s="60"/>
      <c r="M45" s="66"/>
      <c r="N45" s="60"/>
      <c r="O45" s="60"/>
      <c r="P45" s="60"/>
      <c r="Q45" s="60"/>
      <c r="S45" s="32" t="str">
        <f t="shared" si="4"/>
        <v>20/21</v>
      </c>
      <c r="T45" s="1" t="str">
        <f t="shared" si="5"/>
        <v>0445</v>
      </c>
      <c r="U45" s="40" t="s">
        <v>46</v>
      </c>
      <c r="V45" s="40"/>
      <c r="W45" s="44"/>
      <c r="X45" s="44"/>
      <c r="Y45" s="40">
        <f>L50</f>
        <v>0</v>
      </c>
      <c r="Z45" s="42" t="s">
        <v>47</v>
      </c>
    </row>
    <row r="46" spans="1:37" ht="16.5" customHeight="1">
      <c r="A46" s="137" t="s">
        <v>48</v>
      </c>
      <c r="B46" s="142" t="s">
        <v>49</v>
      </c>
      <c r="C46" s="142"/>
      <c r="D46" s="142"/>
      <c r="E46" s="142" t="s">
        <v>50</v>
      </c>
      <c r="F46" s="142"/>
      <c r="G46" s="142"/>
      <c r="H46" s="143" t="s">
        <v>51</v>
      </c>
      <c r="J46" s="144"/>
      <c r="K46" s="145" t="s">
        <v>48</v>
      </c>
      <c r="L46" s="142" t="s">
        <v>52</v>
      </c>
      <c r="M46" s="142"/>
      <c r="N46" s="142"/>
      <c r="O46" s="135" t="s">
        <v>53</v>
      </c>
      <c r="P46" s="135"/>
      <c r="Q46" s="135"/>
      <c r="S46" s="32" t="str">
        <f t="shared" si="4"/>
        <v>20/21</v>
      </c>
      <c r="T46" s="1" t="str">
        <f t="shared" si="5"/>
        <v>0445</v>
      </c>
      <c r="U46" s="40" t="s">
        <v>54</v>
      </c>
      <c r="V46" s="40"/>
      <c r="W46" s="44"/>
      <c r="X46" s="44"/>
      <c r="Y46" s="40">
        <f>M49</f>
        <v>0</v>
      </c>
      <c r="Z46" s="42" t="s">
        <v>55</v>
      </c>
      <c r="AJ46" s="55"/>
    </row>
    <row r="47" spans="1:37" ht="16.5" customHeight="1">
      <c r="A47" s="137"/>
      <c r="B47" s="136" t="s">
        <v>56</v>
      </c>
      <c r="C47" s="136" t="s">
        <v>57</v>
      </c>
      <c r="D47" s="136" t="s">
        <v>58</v>
      </c>
      <c r="E47" s="136" t="s">
        <v>56</v>
      </c>
      <c r="F47" s="136" t="s">
        <v>57</v>
      </c>
      <c r="G47" s="136" t="s">
        <v>58</v>
      </c>
      <c r="H47" s="143"/>
      <c r="J47" s="144"/>
      <c r="K47" s="145"/>
      <c r="L47" s="138" t="s">
        <v>59</v>
      </c>
      <c r="M47" s="138" t="s">
        <v>60</v>
      </c>
      <c r="N47" s="138" t="s">
        <v>61</v>
      </c>
      <c r="O47" s="135"/>
      <c r="P47" s="135"/>
      <c r="Q47" s="135"/>
      <c r="S47" s="32" t="str">
        <f t="shared" si="4"/>
        <v>20/21</v>
      </c>
      <c r="T47" s="1" t="str">
        <f t="shared" si="5"/>
        <v>0445</v>
      </c>
      <c r="U47" s="40" t="s">
        <v>62</v>
      </c>
      <c r="V47" s="40"/>
      <c r="Y47" s="40">
        <f>+M50</f>
        <v>0</v>
      </c>
      <c r="Z47" s="42" t="s">
        <v>63</v>
      </c>
    </row>
    <row r="48" spans="1:37" ht="18" customHeight="1">
      <c r="A48" s="137"/>
      <c r="B48" s="137"/>
      <c r="C48" s="137"/>
      <c r="D48" s="137"/>
      <c r="E48" s="137"/>
      <c r="F48" s="137"/>
      <c r="G48" s="137"/>
      <c r="H48" s="143"/>
      <c r="J48" s="144"/>
      <c r="K48" s="145"/>
      <c r="L48" s="138"/>
      <c r="M48" s="138"/>
      <c r="N48" s="138"/>
      <c r="O48" s="68" t="s">
        <v>64</v>
      </c>
      <c r="P48" s="68" t="s">
        <v>65</v>
      </c>
      <c r="Q48" s="68" t="s">
        <v>66</v>
      </c>
      <c r="R48" s="69" t="s">
        <v>67</v>
      </c>
      <c r="S48" s="32" t="str">
        <f t="shared" si="4"/>
        <v>20/21</v>
      </c>
      <c r="T48" s="1" t="str">
        <f t="shared" si="5"/>
        <v>0445</v>
      </c>
      <c r="U48" s="40" t="s">
        <v>68</v>
      </c>
      <c r="V48" s="40"/>
      <c r="Y48" s="40">
        <f>+N50</f>
        <v>0</v>
      </c>
      <c r="Z48" s="42" t="s">
        <v>69</v>
      </c>
      <c r="AI48" s="36"/>
    </row>
    <row r="49" spans="1:37" s="2" customFormat="1" ht="16.5" customHeight="1">
      <c r="A49" s="70" t="s">
        <v>70</v>
      </c>
      <c r="B49" s="71"/>
      <c r="C49" s="71"/>
      <c r="D49" s="72"/>
      <c r="E49" s="71"/>
      <c r="F49" s="71"/>
      <c r="G49" s="72"/>
      <c r="H49" s="73"/>
      <c r="J49" s="74">
        <f>B49*E49+C49*F49</f>
        <v>0</v>
      </c>
      <c r="K49" s="70" t="s">
        <v>70</v>
      </c>
      <c r="L49" s="71"/>
      <c r="M49" s="71"/>
      <c r="N49" s="71"/>
      <c r="O49" s="71"/>
      <c r="P49" s="71"/>
      <c r="Q49" s="71"/>
      <c r="R49" s="2">
        <f>H49/15</f>
        <v>0</v>
      </c>
      <c r="S49" s="75" t="str">
        <f t="shared" si="4"/>
        <v>20/21</v>
      </c>
      <c r="T49" s="2" t="str">
        <f t="shared" si="5"/>
        <v>0445</v>
      </c>
      <c r="U49" s="76">
        <v>7006</v>
      </c>
      <c r="V49" s="76"/>
      <c r="Y49" s="76">
        <f>O49</f>
        <v>0</v>
      </c>
      <c r="Z49" s="77" t="s">
        <v>71</v>
      </c>
    </row>
    <row r="50" spans="1:37" s="2" customFormat="1" ht="16.5" customHeight="1">
      <c r="A50" s="70" t="s">
        <v>72</v>
      </c>
      <c r="B50" s="71"/>
      <c r="C50" s="71"/>
      <c r="D50" s="78"/>
      <c r="E50" s="71"/>
      <c r="F50" s="71"/>
      <c r="G50" s="78"/>
      <c r="H50" s="73"/>
      <c r="J50" s="74">
        <f>B50*E50+C50*F50</f>
        <v>0</v>
      </c>
      <c r="K50" s="70" t="s">
        <v>72</v>
      </c>
      <c r="L50" s="71"/>
      <c r="M50" s="71"/>
      <c r="N50" s="79"/>
      <c r="O50" s="80"/>
      <c r="P50" s="81"/>
      <c r="Q50" s="81"/>
      <c r="R50" s="2">
        <f>H50/15</f>
        <v>0</v>
      </c>
      <c r="S50" s="75" t="str">
        <f t="shared" si="4"/>
        <v>20/21</v>
      </c>
      <c r="T50" s="2" t="str">
        <f t="shared" si="5"/>
        <v>0445</v>
      </c>
      <c r="U50" s="76">
        <v>7007</v>
      </c>
      <c r="V50" s="76"/>
      <c r="Y50" s="76">
        <f>P49</f>
        <v>0</v>
      </c>
      <c r="Z50" s="77" t="s">
        <v>73</v>
      </c>
    </row>
    <row r="51" spans="1:37" ht="18" customHeight="1">
      <c r="A51" s="67" t="s">
        <v>74</v>
      </c>
      <c r="B51" s="82">
        <f>IF(B43="","",(B50+B49)/B43)</f>
        <v>0</v>
      </c>
      <c r="C51" s="82">
        <f>IF(B43="","",(C50+C49)/B43)</f>
        <v>0</v>
      </c>
      <c r="D51" s="82">
        <f>IF(B43="","",(D50+D49)/B43)</f>
        <v>0</v>
      </c>
      <c r="E51" s="133" t="str">
        <f>IF(B43="","",IF(B51+C51+D51&gt;Bovinos!$AE$5," -&gt; índices (somados) acima da média",IF(B51+C51+D51&lt;Bovinos!$AE$4," -&gt; índices (somados) abaixo da média","")))</f>
        <v xml:space="preserve"> -&gt; índices (somados) abaixo da média</v>
      </c>
      <c r="F51" s="133"/>
      <c r="G51" s="133"/>
      <c r="H51" s="133"/>
      <c r="J51" s="83"/>
      <c r="K51" s="37" t="s">
        <v>74</v>
      </c>
      <c r="L51" s="84">
        <f>IF(B43="","-",(L50+L49)/B43)</f>
        <v>0</v>
      </c>
      <c r="M51" s="84">
        <f>IF(B43="","-",(M50+M49)/B43)</f>
        <v>0</v>
      </c>
      <c r="N51" s="84">
        <f>IF(B43="","-",(N50+N49+P49+O49+Q49)/B43)</f>
        <v>0</v>
      </c>
      <c r="O51" s="134" t="str">
        <f>IF(AND(L51="-",M51="-",N51="-"),"",IF(L51&gt;Bovinos!$AB$5," -&gt; índice(s) fora da faixa média",IF(L51&lt;Bovinos!$AB$4," -&gt; índice(s) fora da faixa média",IF(M51&gt;Bovinos!$AC$5," -&gt; índice(s) fora da faixa média",IF(M51&lt;Bovinos!$AC$4," -&gt; índice(s) fora da faixa média",IF(N51&gt;Bovinos!$AD$5," -&gt; índice(s) fora da faixa média",IF(N51&lt;Bovinos!$AD$4," -&gt; índice(s) fora da faixa média","")))))))</f>
        <v xml:space="preserve"> -&gt; índice(s) fora da faixa média</v>
      </c>
      <c r="P51" s="134"/>
      <c r="Q51" s="134"/>
      <c r="S51" s="32" t="str">
        <f t="shared" si="4"/>
        <v>20/21</v>
      </c>
      <c r="T51" s="1" t="str">
        <f t="shared" si="5"/>
        <v>0445</v>
      </c>
      <c r="U51" s="53">
        <v>7008</v>
      </c>
      <c r="V51" s="53"/>
      <c r="Y51" s="40">
        <f>Q49</f>
        <v>0</v>
      </c>
      <c r="Z51" s="54" t="s">
        <v>75</v>
      </c>
    </row>
    <row r="52" spans="1:37" s="85" customFormat="1" ht="23.25" customHeight="1">
      <c r="A52" s="85" t="s">
        <v>76</v>
      </c>
      <c r="B52" s="86">
        <f>B49+C49+D49</f>
        <v>0</v>
      </c>
      <c r="C52" s="86">
        <f>B50+C50</f>
        <v>0</v>
      </c>
      <c r="D52" s="86">
        <f>B52+C52</f>
        <v>0</v>
      </c>
      <c r="E52" s="87">
        <f>D52/B43</f>
        <v>0</v>
      </c>
      <c r="F52" s="88" t="e">
        <f>(C49+C50)/E44</f>
        <v>#DIV/0!</v>
      </c>
      <c r="S52" s="89" t="str">
        <f t="shared" si="4"/>
        <v>20/21</v>
      </c>
      <c r="T52" s="85" t="str">
        <f t="shared" si="5"/>
        <v>0445</v>
      </c>
      <c r="U52" s="90" t="s">
        <v>77</v>
      </c>
      <c r="V52" s="90"/>
      <c r="Y52" s="90">
        <f>+N49</f>
        <v>0</v>
      </c>
      <c r="Z52" s="91" t="s">
        <v>78</v>
      </c>
    </row>
    <row r="53" spans="1:37" s="92" customFormat="1" ht="18.2" customHeight="1">
      <c r="A53" s="92" t="s">
        <v>79</v>
      </c>
      <c r="B53" s="93" t="e">
        <f>SUM(B49:B50)/D52</f>
        <v>#DIV/0!</v>
      </c>
      <c r="C53" s="93" t="e">
        <f>SUM(C49:C50)/D52</f>
        <v>#DIV/0!</v>
      </c>
      <c r="D53" s="94">
        <f>C49+C50</f>
        <v>0</v>
      </c>
      <c r="E53" s="95" t="e">
        <f>F53/D52*100</f>
        <v>#DIV/0!</v>
      </c>
      <c r="F53" s="96">
        <f>49+63</f>
        <v>112</v>
      </c>
      <c r="G53" s="92" t="s">
        <v>80</v>
      </c>
      <c r="L53" s="97"/>
      <c r="S53" s="98" t="str">
        <f t="shared" si="4"/>
        <v>20/21</v>
      </c>
      <c r="T53" s="92" t="str">
        <f t="shared" si="5"/>
        <v>0445</v>
      </c>
      <c r="U53" s="99" t="s">
        <v>81</v>
      </c>
      <c r="V53" s="99">
        <f>+H43</f>
        <v>0</v>
      </c>
      <c r="Y53" s="99"/>
      <c r="Z53" s="100" t="s">
        <v>82</v>
      </c>
    </row>
    <row r="54" spans="1:37" ht="18.2" customHeight="1">
      <c r="S54" s="32"/>
      <c r="U54" s="40"/>
      <c r="V54" s="40"/>
      <c r="Y54" s="40"/>
      <c r="Z54" s="42"/>
    </row>
    <row r="55" spans="1:37" s="22" customFormat="1" ht="18" customHeight="1">
      <c r="A55" s="20" t="s">
        <v>20</v>
      </c>
      <c r="B55" s="20" t="s">
        <v>87</v>
      </c>
      <c r="C55" s="21" t="s">
        <v>88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S55" s="23" t="str">
        <f t="shared" ref="S55:S69" si="6">+$T$5</f>
        <v>20/21</v>
      </c>
      <c r="T55" s="22" t="str">
        <f>+B55</f>
        <v>0845</v>
      </c>
      <c r="U55" s="24">
        <v>7014</v>
      </c>
      <c r="V55" s="24"/>
      <c r="W55" s="22">
        <f>K59</f>
        <v>2850</v>
      </c>
      <c r="Z55" s="25" t="s">
        <v>24</v>
      </c>
      <c r="AK55" s="26"/>
    </row>
    <row r="56" spans="1:37" s="1" customFormat="1" ht="6" customHeight="1">
      <c r="A56" s="101"/>
      <c r="B56" s="28"/>
      <c r="C56" s="29"/>
      <c r="D56" s="29"/>
      <c r="E56" s="29"/>
      <c r="F56" s="29"/>
      <c r="I56" s="30"/>
      <c r="M56" s="31"/>
      <c r="S56" s="32" t="str">
        <f t="shared" si="6"/>
        <v>20/21</v>
      </c>
      <c r="T56" s="1" t="str">
        <f t="shared" ref="T56:T69" si="7">+T55</f>
        <v>0845</v>
      </c>
      <c r="W56" s="13">
        <f>N59</f>
        <v>0</v>
      </c>
      <c r="Z56" s="1" t="s">
        <v>25</v>
      </c>
    </row>
    <row r="57" spans="1:37" ht="10.5" customHeight="1">
      <c r="A57" s="146"/>
      <c r="B57" s="139" t="s">
        <v>29</v>
      </c>
      <c r="C57" s="147" t="s">
        <v>30</v>
      </c>
      <c r="D57" s="147"/>
      <c r="E57" s="147" t="s">
        <v>31</v>
      </c>
      <c r="F57" s="147"/>
      <c r="G57" s="38"/>
      <c r="H57" s="147" t="s">
        <v>32</v>
      </c>
      <c r="J57" s="148"/>
      <c r="K57" s="147" t="s">
        <v>33</v>
      </c>
      <c r="L57" s="149"/>
      <c r="M57" s="150"/>
      <c r="N57" s="7"/>
      <c r="O57" s="39"/>
      <c r="Q57" s="143" t="s">
        <v>34</v>
      </c>
      <c r="S57" s="32" t="str">
        <f t="shared" si="6"/>
        <v>20/21</v>
      </c>
      <c r="T57" s="1" t="str">
        <f t="shared" si="7"/>
        <v>0845</v>
      </c>
      <c r="U57" s="40" t="s">
        <v>35</v>
      </c>
      <c r="V57" s="40"/>
      <c r="W57" s="40">
        <f>+B59</f>
        <v>6360</v>
      </c>
      <c r="X57" s="41">
        <f>+H65</f>
        <v>0</v>
      </c>
      <c r="Y57" s="40">
        <f>B65+C65</f>
        <v>0</v>
      </c>
      <c r="Z57" s="42" t="s">
        <v>36</v>
      </c>
      <c r="AB57" s="22"/>
      <c r="AC57" s="22"/>
      <c r="AD57" s="22"/>
      <c r="AE57" s="22"/>
      <c r="AF57" s="22"/>
    </row>
    <row r="58" spans="1:37" ht="12" customHeight="1">
      <c r="A58" s="146"/>
      <c r="B58" s="139"/>
      <c r="C58" s="43" t="s">
        <v>38</v>
      </c>
      <c r="D58" s="43" t="s">
        <v>39</v>
      </c>
      <c r="E58" s="43" t="s">
        <v>38</v>
      </c>
      <c r="F58" s="43" t="s">
        <v>39</v>
      </c>
      <c r="G58" s="38"/>
      <c r="H58" s="147"/>
      <c r="J58" s="148"/>
      <c r="K58" s="147"/>
      <c r="L58" s="149"/>
      <c r="M58" s="150"/>
      <c r="N58" s="7"/>
      <c r="O58" s="39"/>
      <c r="Q58" s="143"/>
      <c r="S58" s="32" t="str">
        <f t="shared" si="6"/>
        <v>20/21</v>
      </c>
      <c r="T58" s="1" t="str">
        <f t="shared" si="7"/>
        <v>0845</v>
      </c>
      <c r="U58" s="40" t="s">
        <v>40</v>
      </c>
      <c r="V58" s="40"/>
      <c r="W58" s="44"/>
      <c r="X58" s="41">
        <f>H66</f>
        <v>0</v>
      </c>
      <c r="Y58" s="40">
        <f>B66+C66</f>
        <v>0</v>
      </c>
      <c r="Z58" s="42" t="s">
        <v>41</v>
      </c>
    </row>
    <row r="59" spans="1:37" ht="16.5" customHeight="1">
      <c r="A59" s="139" t="s">
        <v>42</v>
      </c>
      <c r="B59" s="140">
        <v>6360</v>
      </c>
      <c r="C59" s="45"/>
      <c r="D59" s="45"/>
      <c r="E59" s="45"/>
      <c r="F59" s="45"/>
      <c r="G59" s="46" t="str">
        <f>IF(SUM(C60:F60)=0,"",IF(SUM(C59:F59)&lt;1,"&lt;100%",IF(SUM(C59:F59)&gt;1,"&gt;100%","OK")))</f>
        <v/>
      </c>
      <c r="H59" s="47"/>
      <c r="I59" s="2"/>
      <c r="J59" s="48"/>
      <c r="K59" s="49">
        <f>'Leite_-_Produção'!U12</f>
        <v>2850</v>
      </c>
      <c r="L59" s="50"/>
      <c r="M59" s="141"/>
      <c r="N59" s="7"/>
      <c r="O59" s="51"/>
      <c r="Q59" s="52" t="str">
        <f>IF(OR(H59="",B59=""),"-",(D60+F60)/H59)</f>
        <v>-</v>
      </c>
      <c r="S59" s="32" t="str">
        <f t="shared" si="6"/>
        <v>20/21</v>
      </c>
      <c r="T59" s="1" t="str">
        <f t="shared" si="7"/>
        <v>0845</v>
      </c>
      <c r="U59" s="53">
        <v>7590</v>
      </c>
      <c r="V59" s="53"/>
      <c r="W59" s="44"/>
      <c r="X59" s="3">
        <f>+G65</f>
        <v>0</v>
      </c>
      <c r="Y59" s="40">
        <f>D65</f>
        <v>0</v>
      </c>
      <c r="Z59" s="54" t="s">
        <v>43</v>
      </c>
      <c r="AJ59" s="55"/>
    </row>
    <row r="60" spans="1:37" ht="16.5" customHeight="1">
      <c r="A60" s="139"/>
      <c r="B60" s="139"/>
      <c r="C60" s="56">
        <f>+C59*B59</f>
        <v>0</v>
      </c>
      <c r="D60" s="56">
        <f>+D59*B59</f>
        <v>0</v>
      </c>
      <c r="E60" s="56">
        <f>+E59*B59</f>
        <v>0</v>
      </c>
      <c r="F60" s="56">
        <f>+F59*B59</f>
        <v>0</v>
      </c>
      <c r="G60" s="38"/>
      <c r="H60" s="57"/>
      <c r="I60" s="2"/>
      <c r="J60" s="58"/>
      <c r="K60" s="57"/>
      <c r="L60" s="58"/>
      <c r="M60" s="141"/>
      <c r="N60" s="59"/>
      <c r="O60" s="60"/>
      <c r="P60" s="60"/>
      <c r="Q60" s="61"/>
      <c r="S60" s="32" t="str">
        <f t="shared" si="6"/>
        <v>20/21</v>
      </c>
      <c r="T60" s="1" t="str">
        <f t="shared" si="7"/>
        <v>0845</v>
      </c>
      <c r="U60" s="40" t="s">
        <v>44</v>
      </c>
      <c r="V60" s="40"/>
      <c r="W60" s="44"/>
      <c r="X60" s="44"/>
      <c r="Y60" s="40">
        <f>L65</f>
        <v>0</v>
      </c>
      <c r="Z60" s="42" t="s">
        <v>45</v>
      </c>
    </row>
    <row r="61" spans="1:37" ht="10.5" customHeight="1">
      <c r="A61" s="62"/>
      <c r="B61" s="63"/>
      <c r="C61" s="64"/>
      <c r="D61" s="64"/>
      <c r="E61" s="64"/>
      <c r="F61" s="64"/>
      <c r="G61" s="65"/>
      <c r="H61" s="60"/>
      <c r="I61" s="30"/>
      <c r="J61" s="60"/>
      <c r="K61" s="60"/>
      <c r="L61" s="60"/>
      <c r="M61" s="66"/>
      <c r="N61" s="60"/>
      <c r="O61" s="60"/>
      <c r="P61" s="60"/>
      <c r="Q61" s="60"/>
      <c r="S61" s="32" t="str">
        <f t="shared" si="6"/>
        <v>20/21</v>
      </c>
      <c r="T61" s="1" t="str">
        <f t="shared" si="7"/>
        <v>0845</v>
      </c>
      <c r="U61" s="40" t="s">
        <v>46</v>
      </c>
      <c r="V61" s="40"/>
      <c r="W61" s="44"/>
      <c r="X61" s="44"/>
      <c r="Y61" s="40">
        <f>L66</f>
        <v>0</v>
      </c>
      <c r="Z61" s="42" t="s">
        <v>47</v>
      </c>
    </row>
    <row r="62" spans="1:37" ht="16.5" customHeight="1">
      <c r="A62" s="137" t="s">
        <v>48</v>
      </c>
      <c r="B62" s="142" t="s">
        <v>49</v>
      </c>
      <c r="C62" s="142"/>
      <c r="D62" s="142"/>
      <c r="E62" s="142" t="s">
        <v>50</v>
      </c>
      <c r="F62" s="142"/>
      <c r="G62" s="142"/>
      <c r="H62" s="143" t="s">
        <v>51</v>
      </c>
      <c r="J62" s="144"/>
      <c r="K62" s="145" t="s">
        <v>48</v>
      </c>
      <c r="L62" s="142" t="s">
        <v>52</v>
      </c>
      <c r="M62" s="142"/>
      <c r="N62" s="142"/>
      <c r="O62" s="135" t="s">
        <v>53</v>
      </c>
      <c r="P62" s="135"/>
      <c r="Q62" s="135"/>
      <c r="S62" s="32" t="str">
        <f t="shared" si="6"/>
        <v>20/21</v>
      </c>
      <c r="T62" s="1" t="str">
        <f t="shared" si="7"/>
        <v>0845</v>
      </c>
      <c r="U62" s="40" t="s">
        <v>54</v>
      </c>
      <c r="V62" s="40"/>
      <c r="W62" s="44"/>
      <c r="X62" s="44"/>
      <c r="Y62" s="40">
        <f>M65</f>
        <v>0</v>
      </c>
      <c r="Z62" s="42" t="s">
        <v>55</v>
      </c>
      <c r="AJ62" s="55"/>
    </row>
    <row r="63" spans="1:37" ht="16.5" customHeight="1">
      <c r="A63" s="137"/>
      <c r="B63" s="136" t="s">
        <v>56</v>
      </c>
      <c r="C63" s="136" t="s">
        <v>57</v>
      </c>
      <c r="D63" s="136" t="s">
        <v>58</v>
      </c>
      <c r="E63" s="136" t="s">
        <v>56</v>
      </c>
      <c r="F63" s="136" t="s">
        <v>57</v>
      </c>
      <c r="G63" s="136" t="s">
        <v>58</v>
      </c>
      <c r="H63" s="143"/>
      <c r="J63" s="144"/>
      <c r="K63" s="145"/>
      <c r="L63" s="138" t="s">
        <v>59</v>
      </c>
      <c r="M63" s="138" t="s">
        <v>60</v>
      </c>
      <c r="N63" s="138" t="s">
        <v>61</v>
      </c>
      <c r="O63" s="135"/>
      <c r="P63" s="135"/>
      <c r="Q63" s="135"/>
      <c r="S63" s="32" t="str">
        <f t="shared" si="6"/>
        <v>20/21</v>
      </c>
      <c r="T63" s="1" t="str">
        <f t="shared" si="7"/>
        <v>0845</v>
      </c>
      <c r="U63" s="40" t="s">
        <v>62</v>
      </c>
      <c r="V63" s="40"/>
      <c r="Y63" s="40">
        <f>+M66</f>
        <v>0</v>
      </c>
      <c r="Z63" s="42" t="s">
        <v>63</v>
      </c>
    </row>
    <row r="64" spans="1:37" ht="18" customHeight="1">
      <c r="A64" s="137"/>
      <c r="B64" s="137"/>
      <c r="C64" s="137"/>
      <c r="D64" s="137"/>
      <c r="E64" s="137"/>
      <c r="F64" s="137"/>
      <c r="G64" s="137"/>
      <c r="H64" s="143"/>
      <c r="J64" s="144"/>
      <c r="K64" s="145"/>
      <c r="L64" s="138"/>
      <c r="M64" s="138"/>
      <c r="N64" s="138"/>
      <c r="O64" s="68" t="s">
        <v>64</v>
      </c>
      <c r="P64" s="68" t="s">
        <v>65</v>
      </c>
      <c r="Q64" s="68" t="s">
        <v>66</v>
      </c>
      <c r="R64" s="69" t="s">
        <v>67</v>
      </c>
      <c r="S64" s="32" t="str">
        <f t="shared" si="6"/>
        <v>20/21</v>
      </c>
      <c r="T64" s="1" t="str">
        <f t="shared" si="7"/>
        <v>0845</v>
      </c>
      <c r="U64" s="40" t="s">
        <v>68</v>
      </c>
      <c r="V64" s="40"/>
      <c r="Y64" s="40">
        <f>+N66</f>
        <v>0</v>
      </c>
      <c r="Z64" s="42" t="s">
        <v>69</v>
      </c>
      <c r="AI64" s="36"/>
    </row>
    <row r="65" spans="1:37" s="2" customFormat="1" ht="16.5" customHeight="1">
      <c r="A65" s="70" t="s">
        <v>70</v>
      </c>
      <c r="B65" s="71"/>
      <c r="C65" s="71"/>
      <c r="D65" s="72"/>
      <c r="E65" s="71"/>
      <c r="F65" s="71"/>
      <c r="G65" s="72"/>
      <c r="H65" s="73"/>
      <c r="J65" s="74">
        <f>B65*E65+C65*F65</f>
        <v>0</v>
      </c>
      <c r="K65" s="70" t="s">
        <v>70</v>
      </c>
      <c r="L65" s="71"/>
      <c r="M65" s="71"/>
      <c r="N65" s="71"/>
      <c r="O65" s="71"/>
      <c r="P65" s="71"/>
      <c r="Q65" s="71"/>
      <c r="R65" s="2">
        <f>H65/15</f>
        <v>0</v>
      </c>
      <c r="S65" s="75" t="str">
        <f t="shared" si="6"/>
        <v>20/21</v>
      </c>
      <c r="T65" s="2" t="str">
        <f t="shared" si="7"/>
        <v>0845</v>
      </c>
      <c r="U65" s="76">
        <v>7006</v>
      </c>
      <c r="V65" s="76"/>
      <c r="Y65" s="76">
        <f>O65</f>
        <v>0</v>
      </c>
      <c r="Z65" s="77" t="s">
        <v>71</v>
      </c>
    </row>
    <row r="66" spans="1:37" s="2" customFormat="1" ht="16.5" customHeight="1">
      <c r="A66" s="70" t="s">
        <v>72</v>
      </c>
      <c r="B66" s="71"/>
      <c r="C66" s="71"/>
      <c r="D66" s="78"/>
      <c r="E66" s="71"/>
      <c r="F66" s="71"/>
      <c r="G66" s="78"/>
      <c r="H66" s="73"/>
      <c r="J66" s="74">
        <f>B66*E66+C66*F66</f>
        <v>0</v>
      </c>
      <c r="K66" s="70" t="s">
        <v>72</v>
      </c>
      <c r="L66" s="71"/>
      <c r="M66" s="71"/>
      <c r="N66" s="79"/>
      <c r="O66" s="80"/>
      <c r="P66" s="81"/>
      <c r="Q66" s="81"/>
      <c r="R66" s="2">
        <f>H66/15</f>
        <v>0</v>
      </c>
      <c r="S66" s="75" t="str">
        <f t="shared" si="6"/>
        <v>20/21</v>
      </c>
      <c r="T66" s="2" t="str">
        <f t="shared" si="7"/>
        <v>0845</v>
      </c>
      <c r="U66" s="76">
        <v>7007</v>
      </c>
      <c r="V66" s="76"/>
      <c r="Y66" s="76">
        <f>P65</f>
        <v>0</v>
      </c>
      <c r="Z66" s="77" t="s">
        <v>73</v>
      </c>
    </row>
    <row r="67" spans="1:37" ht="18" customHeight="1">
      <c r="A67" s="67" t="s">
        <v>74</v>
      </c>
      <c r="B67" s="82">
        <f>IF(B59="","",(B66+B65)/B59)</f>
        <v>0</v>
      </c>
      <c r="C67" s="82">
        <f>IF(B59="","",(C66+C65)/B59)</f>
        <v>0</v>
      </c>
      <c r="D67" s="82">
        <f>IF(B59="","",(D66+D65)/B59)</f>
        <v>0</v>
      </c>
      <c r="E67" s="133" t="str">
        <f>IF(B59="","",IF(B67+C67+D67&gt;Bovinos!$AE$5," -&gt; índices (somados) acima da média",IF(B67+C67+D67&lt;Bovinos!$AE$4," -&gt; índices (somados) abaixo da média","")))</f>
        <v xml:space="preserve"> -&gt; índices (somados) abaixo da média</v>
      </c>
      <c r="F67" s="133"/>
      <c r="G67" s="133"/>
      <c r="H67" s="133"/>
      <c r="J67" s="83"/>
      <c r="K67" s="37" t="s">
        <v>74</v>
      </c>
      <c r="L67" s="84">
        <f>IF(B59="","-",(L66+L65)/B59)</f>
        <v>0</v>
      </c>
      <c r="M67" s="84">
        <f>IF(B59="","-",(M66+M65)/B59)</f>
        <v>0</v>
      </c>
      <c r="N67" s="84">
        <f>IF(B59="","-",(N66+N65+P65+O65+Q65)/B59)</f>
        <v>0</v>
      </c>
      <c r="O67" s="134" t="str">
        <f>IF(AND(L67="-",M67="-",N67="-"),"",IF(L67&gt;Bovinos!$AB$5," -&gt; índice(s) fora da faixa média",IF(L67&lt;Bovinos!$AB$4," -&gt; índice(s) fora da faixa média",IF(M67&gt;Bovinos!$AC$5," -&gt; índice(s) fora da faixa média",IF(M67&lt;Bovinos!$AC$4," -&gt; índice(s) fora da faixa média",IF(N67&gt;Bovinos!$AD$5," -&gt; índice(s) fora da faixa média",IF(N67&lt;Bovinos!$AD$4," -&gt; índice(s) fora da faixa média","")))))))</f>
        <v xml:space="preserve"> -&gt; índice(s) fora da faixa média</v>
      </c>
      <c r="P67" s="134"/>
      <c r="Q67" s="134"/>
      <c r="S67" s="32" t="str">
        <f t="shared" si="6"/>
        <v>20/21</v>
      </c>
      <c r="T67" s="1" t="str">
        <f t="shared" si="7"/>
        <v>0845</v>
      </c>
      <c r="U67" s="53">
        <v>7008</v>
      </c>
      <c r="V67" s="53"/>
      <c r="Y67" s="40">
        <f>Q65</f>
        <v>0</v>
      </c>
      <c r="Z67" s="54" t="s">
        <v>75</v>
      </c>
    </row>
    <row r="68" spans="1:37" s="85" customFormat="1" ht="23.25" customHeight="1">
      <c r="A68" s="85" t="s">
        <v>76</v>
      </c>
      <c r="B68" s="86">
        <f>B65+C65+D65</f>
        <v>0</v>
      </c>
      <c r="C68" s="86">
        <f>B66+C66</f>
        <v>0</v>
      </c>
      <c r="D68" s="86">
        <f>B68+C68</f>
        <v>0</v>
      </c>
      <c r="E68" s="87">
        <f>D68/B59</f>
        <v>0</v>
      </c>
      <c r="F68" s="88" t="e">
        <f>(C65+C66)/E60</f>
        <v>#DIV/0!</v>
      </c>
      <c r="S68" s="89" t="str">
        <f t="shared" si="6"/>
        <v>20/21</v>
      </c>
      <c r="T68" s="85" t="str">
        <f t="shared" si="7"/>
        <v>0845</v>
      </c>
      <c r="U68" s="90" t="s">
        <v>77</v>
      </c>
      <c r="V68" s="90"/>
      <c r="Y68" s="90">
        <f>+N65</f>
        <v>0</v>
      </c>
      <c r="Z68" s="91" t="s">
        <v>78</v>
      </c>
    </row>
    <row r="69" spans="1:37" s="92" customFormat="1" ht="18.2" customHeight="1">
      <c r="A69" s="92" t="s">
        <v>79</v>
      </c>
      <c r="B69" s="93" t="e">
        <f>SUM(B65:B66)/D68</f>
        <v>#DIV/0!</v>
      </c>
      <c r="C69" s="93" t="e">
        <f>SUM(C65:C66)/D68</f>
        <v>#DIV/0!</v>
      </c>
      <c r="D69" s="94">
        <f>C65+C66</f>
        <v>0</v>
      </c>
      <c r="E69" s="95" t="e">
        <f>F69/D68*100</f>
        <v>#DIV/0!</v>
      </c>
      <c r="F69" s="96">
        <f>353+290</f>
        <v>643</v>
      </c>
      <c r="G69" s="92" t="s">
        <v>80</v>
      </c>
      <c r="L69" s="97"/>
      <c r="S69" s="98" t="str">
        <f t="shared" si="6"/>
        <v>20/21</v>
      </c>
      <c r="T69" s="92" t="str">
        <f t="shared" si="7"/>
        <v>0845</v>
      </c>
      <c r="U69" s="99" t="s">
        <v>81</v>
      </c>
      <c r="V69" s="99">
        <f>+H59</f>
        <v>0</v>
      </c>
      <c r="Y69" s="99"/>
      <c r="Z69" s="100" t="s">
        <v>82</v>
      </c>
    </row>
    <row r="70" spans="1:37" ht="18.2" customHeight="1">
      <c r="S70" s="32"/>
      <c r="U70" s="40"/>
      <c r="V70" s="40"/>
      <c r="Y70" s="40"/>
      <c r="Z70" s="42"/>
    </row>
    <row r="71" spans="1:37" s="22" customFormat="1" ht="18" customHeight="1">
      <c r="A71" s="20" t="s">
        <v>20</v>
      </c>
      <c r="B71" s="20" t="s">
        <v>89</v>
      </c>
      <c r="C71" s="21" t="s">
        <v>90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S71" s="23" t="str">
        <f t="shared" ref="S71:S85" si="8">+$T$5</f>
        <v>20/21</v>
      </c>
      <c r="T71" s="22" t="str">
        <f>+B71</f>
        <v>0865</v>
      </c>
      <c r="U71" s="24">
        <v>7014</v>
      </c>
      <c r="V71" s="24"/>
      <c r="W71" s="22">
        <f>K75</f>
        <v>15500</v>
      </c>
      <c r="Z71" s="25" t="s">
        <v>24</v>
      </c>
      <c r="AK71" s="26"/>
    </row>
    <row r="72" spans="1:37" s="1" customFormat="1" ht="6" customHeight="1">
      <c r="A72" s="101"/>
      <c r="B72" s="28"/>
      <c r="C72" s="29"/>
      <c r="D72" s="29"/>
      <c r="E72" s="29"/>
      <c r="F72" s="29"/>
      <c r="I72" s="30"/>
      <c r="M72" s="31"/>
      <c r="S72" s="32" t="str">
        <f t="shared" si="8"/>
        <v>20/21</v>
      </c>
      <c r="T72" s="1" t="str">
        <f t="shared" ref="T72:T85" si="9">+T71</f>
        <v>0865</v>
      </c>
      <c r="W72" s="13">
        <f>N75</f>
        <v>0</v>
      </c>
      <c r="Z72" s="1" t="s">
        <v>25</v>
      </c>
      <c r="AB72" s="22"/>
      <c r="AC72" s="22"/>
      <c r="AD72" s="22"/>
      <c r="AE72" s="22"/>
      <c r="AF72" s="22"/>
    </row>
    <row r="73" spans="1:37" ht="10.5" customHeight="1">
      <c r="A73" s="146"/>
      <c r="B73" s="139" t="s">
        <v>29</v>
      </c>
      <c r="C73" s="147" t="s">
        <v>30</v>
      </c>
      <c r="D73" s="147"/>
      <c r="E73" s="147" t="s">
        <v>31</v>
      </c>
      <c r="F73" s="147"/>
      <c r="G73" s="38"/>
      <c r="H73" s="147" t="s">
        <v>32</v>
      </c>
      <c r="J73" s="148"/>
      <c r="K73" s="147" t="s">
        <v>33</v>
      </c>
      <c r="L73" s="149"/>
      <c r="M73" s="150"/>
      <c r="N73" s="7"/>
      <c r="O73" s="39"/>
      <c r="Q73" s="143" t="s">
        <v>34</v>
      </c>
      <c r="S73" s="32" t="str">
        <f t="shared" si="8"/>
        <v>20/21</v>
      </c>
      <c r="T73" s="1" t="str">
        <f t="shared" si="9"/>
        <v>0865</v>
      </c>
      <c r="U73" s="40" t="s">
        <v>35</v>
      </c>
      <c r="V73" s="40"/>
      <c r="W73" s="40">
        <f>+B75</f>
        <v>33050</v>
      </c>
      <c r="X73" s="41">
        <f>+H81</f>
        <v>0</v>
      </c>
      <c r="Y73" s="40">
        <f>B81+C81</f>
        <v>0</v>
      </c>
      <c r="Z73" s="42" t="s">
        <v>36</v>
      </c>
      <c r="AB73" s="22"/>
      <c r="AC73" s="22"/>
      <c r="AD73" s="22"/>
      <c r="AE73" s="22"/>
      <c r="AF73" s="22"/>
    </row>
    <row r="74" spans="1:37" ht="12" customHeight="1">
      <c r="A74" s="146"/>
      <c r="B74" s="139"/>
      <c r="C74" s="43" t="s">
        <v>38</v>
      </c>
      <c r="D74" s="43" t="s">
        <v>39</v>
      </c>
      <c r="E74" s="43" t="s">
        <v>38</v>
      </c>
      <c r="F74" s="43" t="s">
        <v>39</v>
      </c>
      <c r="G74" s="38"/>
      <c r="H74" s="147"/>
      <c r="J74" s="148"/>
      <c r="K74" s="147"/>
      <c r="L74" s="149"/>
      <c r="M74" s="150"/>
      <c r="N74" s="7"/>
      <c r="O74" s="39"/>
      <c r="Q74" s="143"/>
      <c r="S74" s="32" t="str">
        <f t="shared" si="8"/>
        <v>20/21</v>
      </c>
      <c r="T74" s="1" t="str">
        <f t="shared" si="9"/>
        <v>0865</v>
      </c>
      <c r="U74" s="40" t="s">
        <v>40</v>
      </c>
      <c r="V74" s="40"/>
      <c r="W74" s="44"/>
      <c r="X74" s="41">
        <f>H82</f>
        <v>0</v>
      </c>
      <c r="Y74" s="40">
        <f>B82+C82</f>
        <v>0</v>
      </c>
      <c r="Z74" s="42" t="s">
        <v>41</v>
      </c>
    </row>
    <row r="75" spans="1:37" ht="16.5" customHeight="1">
      <c r="A75" s="139" t="s">
        <v>42</v>
      </c>
      <c r="B75" s="140">
        <v>33050</v>
      </c>
      <c r="C75" s="45"/>
      <c r="D75" s="45"/>
      <c r="E75" s="45"/>
      <c r="F75" s="45"/>
      <c r="G75" s="46" t="str">
        <f>IF(SUM(C76:F76)=0,"",IF(SUM(C75:F75)&lt;1,"&lt;100%",IF(SUM(C75:F75)&gt;1,"&gt;100%","OK")))</f>
        <v/>
      </c>
      <c r="H75" s="47"/>
      <c r="I75" s="2"/>
      <c r="J75" s="48"/>
      <c r="K75" s="49">
        <f>'Leite_-_Produção'!U13</f>
        <v>15500</v>
      </c>
      <c r="L75" s="50"/>
      <c r="M75" s="141"/>
      <c r="N75" s="7"/>
      <c r="O75" s="51"/>
      <c r="Q75" s="52" t="str">
        <f>IF(OR(H75="",B75=""),"-",(D76+F76)/H75)</f>
        <v>-</v>
      </c>
      <c r="S75" s="32" t="str">
        <f t="shared" si="8"/>
        <v>20/21</v>
      </c>
      <c r="T75" s="1" t="str">
        <f t="shared" si="9"/>
        <v>0865</v>
      </c>
      <c r="U75" s="53">
        <v>7590</v>
      </c>
      <c r="V75" s="53"/>
      <c r="W75" s="44"/>
      <c r="X75" s="3">
        <f>+G81</f>
        <v>0</v>
      </c>
      <c r="Y75" s="40">
        <f>D81</f>
        <v>0</v>
      </c>
      <c r="Z75" s="54" t="s">
        <v>43</v>
      </c>
      <c r="AJ75" s="55"/>
    </row>
    <row r="76" spans="1:37" ht="16.5" customHeight="1">
      <c r="A76" s="139"/>
      <c r="B76" s="139"/>
      <c r="C76" s="56">
        <f>+C75*B75</f>
        <v>0</v>
      </c>
      <c r="D76" s="56">
        <f>+D75*B75</f>
        <v>0</v>
      </c>
      <c r="E76" s="56">
        <f>+E75*B75</f>
        <v>0</v>
      </c>
      <c r="F76" s="56">
        <f>+F75*B75</f>
        <v>0</v>
      </c>
      <c r="G76" s="38"/>
      <c r="H76" s="57"/>
      <c r="I76" s="2"/>
      <c r="J76" s="58"/>
      <c r="K76" s="57"/>
      <c r="L76" s="58"/>
      <c r="M76" s="141"/>
      <c r="N76" s="59"/>
      <c r="O76" s="60"/>
      <c r="P76" s="60"/>
      <c r="Q76" s="61"/>
      <c r="S76" s="32" t="str">
        <f t="shared" si="8"/>
        <v>20/21</v>
      </c>
      <c r="T76" s="1" t="str">
        <f t="shared" si="9"/>
        <v>0865</v>
      </c>
      <c r="U76" s="40" t="s">
        <v>44</v>
      </c>
      <c r="V76" s="40"/>
      <c r="W76" s="44"/>
      <c r="X76" s="44"/>
      <c r="Y76" s="40">
        <f>L81</f>
        <v>0</v>
      </c>
      <c r="Z76" s="42" t="s">
        <v>45</v>
      </c>
    </row>
    <row r="77" spans="1:37" ht="10.5" customHeight="1">
      <c r="A77" s="62"/>
      <c r="B77" s="63"/>
      <c r="C77" s="64"/>
      <c r="D77" s="64"/>
      <c r="E77" s="64"/>
      <c r="F77" s="64"/>
      <c r="G77" s="65"/>
      <c r="H77" s="60"/>
      <c r="I77" s="30"/>
      <c r="J77" s="60"/>
      <c r="K77" s="60"/>
      <c r="L77" s="60"/>
      <c r="M77" s="66"/>
      <c r="N77" s="60"/>
      <c r="O77" s="60"/>
      <c r="P77" s="60"/>
      <c r="Q77" s="60"/>
      <c r="S77" s="32" t="str">
        <f t="shared" si="8"/>
        <v>20/21</v>
      </c>
      <c r="T77" s="1" t="str">
        <f t="shared" si="9"/>
        <v>0865</v>
      </c>
      <c r="U77" s="40" t="s">
        <v>46</v>
      </c>
      <c r="V77" s="40"/>
      <c r="W77" s="44"/>
      <c r="X77" s="44"/>
      <c r="Y77" s="40">
        <f>L82</f>
        <v>0</v>
      </c>
      <c r="Z77" s="42" t="s">
        <v>47</v>
      </c>
    </row>
    <row r="78" spans="1:37" ht="16.5" customHeight="1">
      <c r="A78" s="137" t="s">
        <v>48</v>
      </c>
      <c r="B78" s="142" t="s">
        <v>49</v>
      </c>
      <c r="C78" s="142"/>
      <c r="D78" s="142"/>
      <c r="E78" s="142" t="s">
        <v>50</v>
      </c>
      <c r="F78" s="142"/>
      <c r="G78" s="142"/>
      <c r="H78" s="143" t="s">
        <v>51</v>
      </c>
      <c r="J78" s="144"/>
      <c r="K78" s="145" t="s">
        <v>48</v>
      </c>
      <c r="L78" s="142" t="s">
        <v>52</v>
      </c>
      <c r="M78" s="142"/>
      <c r="N78" s="142"/>
      <c r="O78" s="135" t="s">
        <v>53</v>
      </c>
      <c r="P78" s="135"/>
      <c r="Q78" s="135"/>
      <c r="S78" s="32" t="str">
        <f t="shared" si="8"/>
        <v>20/21</v>
      </c>
      <c r="T78" s="1" t="str">
        <f t="shared" si="9"/>
        <v>0865</v>
      </c>
      <c r="U78" s="40" t="s">
        <v>54</v>
      </c>
      <c r="V78" s="40"/>
      <c r="W78" s="44"/>
      <c r="X78" s="44"/>
      <c r="Y78" s="40">
        <f>M81</f>
        <v>0</v>
      </c>
      <c r="Z78" s="42" t="s">
        <v>55</v>
      </c>
      <c r="AJ78" s="55"/>
    </row>
    <row r="79" spans="1:37" ht="16.5" customHeight="1">
      <c r="A79" s="137"/>
      <c r="B79" s="136" t="s">
        <v>56</v>
      </c>
      <c r="C79" s="136" t="s">
        <v>57</v>
      </c>
      <c r="D79" s="136" t="s">
        <v>58</v>
      </c>
      <c r="E79" s="136" t="s">
        <v>56</v>
      </c>
      <c r="F79" s="136" t="s">
        <v>57</v>
      </c>
      <c r="G79" s="136" t="s">
        <v>58</v>
      </c>
      <c r="H79" s="143"/>
      <c r="J79" s="144"/>
      <c r="K79" s="145"/>
      <c r="L79" s="138" t="s">
        <v>59</v>
      </c>
      <c r="M79" s="138" t="s">
        <v>60</v>
      </c>
      <c r="N79" s="138" t="s">
        <v>61</v>
      </c>
      <c r="O79" s="135"/>
      <c r="P79" s="135"/>
      <c r="Q79" s="135"/>
      <c r="S79" s="32" t="str">
        <f t="shared" si="8"/>
        <v>20/21</v>
      </c>
      <c r="T79" s="1" t="str">
        <f t="shared" si="9"/>
        <v>0865</v>
      </c>
      <c r="U79" s="40" t="s">
        <v>62</v>
      </c>
      <c r="V79" s="40"/>
      <c r="Y79" s="40">
        <f>+M82</f>
        <v>0</v>
      </c>
      <c r="Z79" s="42" t="s">
        <v>63</v>
      </c>
    </row>
    <row r="80" spans="1:37" ht="18" customHeight="1">
      <c r="A80" s="137"/>
      <c r="B80" s="137"/>
      <c r="C80" s="137"/>
      <c r="D80" s="137"/>
      <c r="E80" s="137"/>
      <c r="F80" s="137"/>
      <c r="G80" s="137"/>
      <c r="H80" s="143"/>
      <c r="J80" s="144"/>
      <c r="K80" s="145"/>
      <c r="L80" s="138"/>
      <c r="M80" s="138"/>
      <c r="N80" s="138"/>
      <c r="O80" s="68" t="s">
        <v>64</v>
      </c>
      <c r="P80" s="68" t="s">
        <v>65</v>
      </c>
      <c r="Q80" s="68" t="s">
        <v>66</v>
      </c>
      <c r="R80" s="69" t="s">
        <v>67</v>
      </c>
      <c r="S80" s="32" t="str">
        <f t="shared" si="8"/>
        <v>20/21</v>
      </c>
      <c r="T80" s="1" t="str">
        <f t="shared" si="9"/>
        <v>0865</v>
      </c>
      <c r="U80" s="40" t="s">
        <v>68</v>
      </c>
      <c r="V80" s="40"/>
      <c r="Y80" s="40">
        <f>+N82</f>
        <v>0</v>
      </c>
      <c r="Z80" s="42" t="s">
        <v>69</v>
      </c>
      <c r="AI80" s="36"/>
    </row>
    <row r="81" spans="1:37" s="2" customFormat="1" ht="16.5" customHeight="1">
      <c r="A81" s="70" t="s">
        <v>70</v>
      </c>
      <c r="B81" s="71"/>
      <c r="C81" s="71"/>
      <c r="D81" s="72"/>
      <c r="E81" s="71"/>
      <c r="F81" s="71"/>
      <c r="G81" s="72"/>
      <c r="H81" s="73"/>
      <c r="J81" s="74">
        <f>B81*E81+C81*F81</f>
        <v>0</v>
      </c>
      <c r="K81" s="70" t="s">
        <v>70</v>
      </c>
      <c r="L81" s="71"/>
      <c r="M81" s="71"/>
      <c r="N81" s="71"/>
      <c r="O81" s="71"/>
      <c r="P81" s="71"/>
      <c r="Q81" s="71"/>
      <c r="R81" s="2">
        <f>H81/15</f>
        <v>0</v>
      </c>
      <c r="S81" s="75" t="str">
        <f t="shared" si="8"/>
        <v>20/21</v>
      </c>
      <c r="T81" s="2" t="str">
        <f t="shared" si="9"/>
        <v>0865</v>
      </c>
      <c r="U81" s="76">
        <v>7006</v>
      </c>
      <c r="V81" s="76"/>
      <c r="Y81" s="76">
        <f>O81</f>
        <v>0</v>
      </c>
      <c r="Z81" s="77" t="s">
        <v>71</v>
      </c>
    </row>
    <row r="82" spans="1:37" s="2" customFormat="1" ht="16.5" customHeight="1">
      <c r="A82" s="70" t="s">
        <v>72</v>
      </c>
      <c r="B82" s="71"/>
      <c r="C82" s="71"/>
      <c r="D82" s="78"/>
      <c r="E82" s="71"/>
      <c r="F82" s="71"/>
      <c r="G82" s="78"/>
      <c r="H82" s="73"/>
      <c r="J82" s="74">
        <f>B82*E82+C82*F82</f>
        <v>0</v>
      </c>
      <c r="K82" s="70" t="s">
        <v>72</v>
      </c>
      <c r="L82" s="71"/>
      <c r="M82" s="71"/>
      <c r="N82" s="79"/>
      <c r="O82" s="80"/>
      <c r="P82" s="81"/>
      <c r="Q82" s="81"/>
      <c r="R82" s="2">
        <f>H82/15</f>
        <v>0</v>
      </c>
      <c r="S82" s="75" t="str">
        <f t="shared" si="8"/>
        <v>20/21</v>
      </c>
      <c r="T82" s="2" t="str">
        <f t="shared" si="9"/>
        <v>0865</v>
      </c>
      <c r="U82" s="76">
        <v>7007</v>
      </c>
      <c r="V82" s="76"/>
      <c r="Y82" s="76">
        <f>P81</f>
        <v>0</v>
      </c>
      <c r="Z82" s="77" t="s">
        <v>73</v>
      </c>
    </row>
    <row r="83" spans="1:37" ht="18" customHeight="1">
      <c r="A83" s="67" t="s">
        <v>74</v>
      </c>
      <c r="B83" s="82">
        <f>IF(B75="","",(B82+B81)/B75)</f>
        <v>0</v>
      </c>
      <c r="C83" s="82">
        <f>IF(B75="","",(C82+C81)/B75)</f>
        <v>0</v>
      </c>
      <c r="D83" s="82">
        <f>IF(B75="","",(D82+D81)/B75)</f>
        <v>0</v>
      </c>
      <c r="E83" s="133" t="str">
        <f>IF(B75="","",IF(B83+C83+D83&gt;Bovinos!$AE$5," -&gt; índices (somados) acima da média",IF(B83+C83+D83&lt;Bovinos!$AE$4," -&gt; índices (somados) abaixo da média","")))</f>
        <v xml:space="preserve"> -&gt; índices (somados) abaixo da média</v>
      </c>
      <c r="F83" s="133"/>
      <c r="G83" s="133"/>
      <c r="H83" s="133"/>
      <c r="J83" s="83"/>
      <c r="K83" s="37" t="s">
        <v>74</v>
      </c>
      <c r="L83" s="84">
        <f>IF(B75="","-",(L82+L81)/B75)</f>
        <v>0</v>
      </c>
      <c r="M83" s="84">
        <f>IF(B75="","-",(M82+M81)/B75)</f>
        <v>0</v>
      </c>
      <c r="N83" s="84">
        <f>IF(B75="","-",(N82+N81+P81+O81+Q81)/B75)</f>
        <v>0</v>
      </c>
      <c r="O83" s="134" t="str">
        <f>IF(AND(L83="-",M83="-",N83="-"),"",IF(L83&gt;Bovinos!$AB$5," -&gt; índice(s) fora da faixa média",IF(L83&lt;Bovinos!$AB$4," -&gt; índice(s) fora da faixa média",IF(M83&gt;Bovinos!$AC$5," -&gt; índice(s) fora da faixa média",IF(M83&lt;Bovinos!$AC$4," -&gt; índice(s) fora da faixa média",IF(N83&gt;Bovinos!$AD$5," -&gt; índice(s) fora da faixa média",IF(N83&lt;Bovinos!$AD$4," -&gt; índice(s) fora da faixa média","")))))))</f>
        <v xml:space="preserve"> -&gt; índice(s) fora da faixa média</v>
      </c>
      <c r="P83" s="134"/>
      <c r="Q83" s="134"/>
      <c r="S83" s="32" t="str">
        <f t="shared" si="8"/>
        <v>20/21</v>
      </c>
      <c r="T83" s="1" t="str">
        <f t="shared" si="9"/>
        <v>0865</v>
      </c>
      <c r="U83" s="53">
        <v>7008</v>
      </c>
      <c r="V83" s="53"/>
      <c r="Y83" s="40">
        <f>Q81</f>
        <v>0</v>
      </c>
      <c r="Z83" s="54" t="s">
        <v>75</v>
      </c>
    </row>
    <row r="84" spans="1:37" s="85" customFormat="1" ht="23.25" customHeight="1">
      <c r="A84" s="85" t="s">
        <v>76</v>
      </c>
      <c r="B84" s="86">
        <f>B81+C81+D81</f>
        <v>0</v>
      </c>
      <c r="C84" s="86">
        <f>B82+C82</f>
        <v>0</v>
      </c>
      <c r="D84" s="86">
        <f>B84+C84</f>
        <v>0</v>
      </c>
      <c r="E84" s="87">
        <f>D84/B75</f>
        <v>0</v>
      </c>
      <c r="F84" s="88" t="e">
        <f>(C81+C82)/E76</f>
        <v>#DIV/0!</v>
      </c>
      <c r="S84" s="89" t="str">
        <f t="shared" si="8"/>
        <v>20/21</v>
      </c>
      <c r="T84" s="85" t="str">
        <f t="shared" si="9"/>
        <v>0865</v>
      </c>
      <c r="U84" s="90" t="s">
        <v>77</v>
      </c>
      <c r="V84" s="90"/>
      <c r="Y84" s="90">
        <f>+N81</f>
        <v>0</v>
      </c>
      <c r="Z84" s="91" t="s">
        <v>78</v>
      </c>
    </row>
    <row r="85" spans="1:37" s="92" customFormat="1" ht="18.2" customHeight="1">
      <c r="A85" s="92" t="s">
        <v>79</v>
      </c>
      <c r="B85" s="93" t="e">
        <f>SUM(B81:B82)/D84</f>
        <v>#DIV/0!</v>
      </c>
      <c r="C85" s="93" t="e">
        <f>SUM(C81:C82)/D84</f>
        <v>#DIV/0!</v>
      </c>
      <c r="D85" s="94">
        <f>C81+C82</f>
        <v>0</v>
      </c>
      <c r="E85" s="95" t="e">
        <f>F85/D84*100</f>
        <v>#DIV/0!</v>
      </c>
      <c r="F85" s="96">
        <v>28</v>
      </c>
      <c r="G85" s="92" t="s">
        <v>80</v>
      </c>
      <c r="L85" s="97"/>
      <c r="S85" s="98" t="str">
        <f t="shared" si="8"/>
        <v>20/21</v>
      </c>
      <c r="T85" s="92" t="str">
        <f t="shared" si="9"/>
        <v>0865</v>
      </c>
      <c r="U85" s="99" t="s">
        <v>81</v>
      </c>
      <c r="V85" s="99">
        <f>+H75</f>
        <v>0</v>
      </c>
      <c r="Y85" s="99"/>
      <c r="Z85" s="100" t="s">
        <v>82</v>
      </c>
    </row>
    <row r="86" spans="1:37" ht="18.2" customHeight="1">
      <c r="S86" s="32"/>
      <c r="U86" s="40"/>
      <c r="V86" s="40"/>
      <c r="Y86" s="40"/>
      <c r="Z86" s="42"/>
    </row>
    <row r="87" spans="1:37" s="22" customFormat="1" ht="18" customHeight="1">
      <c r="A87" s="20" t="s">
        <v>20</v>
      </c>
      <c r="B87" s="20" t="s">
        <v>91</v>
      </c>
      <c r="C87" s="21" t="s">
        <v>92</v>
      </c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S87" s="23" t="str">
        <f t="shared" ref="S87:S101" si="10">+$T$5</f>
        <v>20/21</v>
      </c>
      <c r="T87" s="22" t="str">
        <f>+B87</f>
        <v>0940</v>
      </c>
      <c r="U87" s="24">
        <v>7014</v>
      </c>
      <c r="V87" s="24"/>
      <c r="W87" s="22">
        <f>K91</f>
        <v>18600</v>
      </c>
      <c r="Z87" s="25" t="s">
        <v>24</v>
      </c>
      <c r="AK87" s="26"/>
    </row>
    <row r="88" spans="1:37" s="1" customFormat="1" ht="6" customHeight="1">
      <c r="A88" s="101"/>
      <c r="B88" s="28"/>
      <c r="C88" s="29"/>
      <c r="D88" s="29"/>
      <c r="E88" s="29"/>
      <c r="F88" s="29"/>
      <c r="I88" s="30"/>
      <c r="M88" s="31"/>
      <c r="S88" s="32" t="str">
        <f t="shared" si="10"/>
        <v>20/21</v>
      </c>
      <c r="T88" s="1" t="str">
        <f t="shared" ref="T88:T101" si="11">+T87</f>
        <v>0940</v>
      </c>
      <c r="W88" s="13">
        <f>N91</f>
        <v>0</v>
      </c>
      <c r="Z88" s="1" t="s">
        <v>25</v>
      </c>
    </row>
    <row r="89" spans="1:37" ht="10.5" customHeight="1">
      <c r="A89" s="146"/>
      <c r="B89" s="139" t="s">
        <v>29</v>
      </c>
      <c r="C89" s="147" t="s">
        <v>30</v>
      </c>
      <c r="D89" s="147"/>
      <c r="E89" s="147" t="s">
        <v>31</v>
      </c>
      <c r="F89" s="147"/>
      <c r="G89" s="38"/>
      <c r="H89" s="147" t="s">
        <v>32</v>
      </c>
      <c r="J89" s="148"/>
      <c r="K89" s="147" t="s">
        <v>33</v>
      </c>
      <c r="L89" s="149"/>
      <c r="M89" s="150"/>
      <c r="N89" s="7"/>
      <c r="O89" s="39"/>
      <c r="Q89" s="143" t="s">
        <v>34</v>
      </c>
      <c r="S89" s="32" t="str">
        <f t="shared" si="10"/>
        <v>20/21</v>
      </c>
      <c r="T89" s="1" t="str">
        <f t="shared" si="11"/>
        <v>0940</v>
      </c>
      <c r="U89" s="40" t="s">
        <v>35</v>
      </c>
      <c r="V89" s="40"/>
      <c r="W89" s="40">
        <f>+B91</f>
        <v>50750</v>
      </c>
      <c r="X89" s="41">
        <f>+H97</f>
        <v>0</v>
      </c>
      <c r="Y89" s="40">
        <f>B97+C97</f>
        <v>0</v>
      </c>
      <c r="Z89" s="42" t="s">
        <v>36</v>
      </c>
      <c r="AB89" s="22"/>
      <c r="AC89" s="22"/>
      <c r="AD89" s="22"/>
      <c r="AE89" s="22"/>
      <c r="AF89" s="22"/>
    </row>
    <row r="90" spans="1:37" ht="12" customHeight="1">
      <c r="A90" s="146"/>
      <c r="B90" s="139"/>
      <c r="C90" s="43" t="s">
        <v>38</v>
      </c>
      <c r="D90" s="43" t="s">
        <v>39</v>
      </c>
      <c r="E90" s="43" t="s">
        <v>38</v>
      </c>
      <c r="F90" s="43" t="s">
        <v>39</v>
      </c>
      <c r="G90" s="38"/>
      <c r="H90" s="147"/>
      <c r="J90" s="148"/>
      <c r="K90" s="147"/>
      <c r="L90" s="149"/>
      <c r="M90" s="150"/>
      <c r="N90" s="7"/>
      <c r="O90" s="39"/>
      <c r="Q90" s="143"/>
      <c r="S90" s="32" t="str">
        <f t="shared" si="10"/>
        <v>20/21</v>
      </c>
      <c r="T90" s="1" t="str">
        <f t="shared" si="11"/>
        <v>0940</v>
      </c>
      <c r="U90" s="40" t="s">
        <v>40</v>
      </c>
      <c r="V90" s="40"/>
      <c r="W90" s="44"/>
      <c r="X90" s="41">
        <f>H98</f>
        <v>0</v>
      </c>
      <c r="Y90" s="40">
        <f>B98+C98</f>
        <v>0</v>
      </c>
      <c r="Z90" s="42" t="s">
        <v>41</v>
      </c>
    </row>
    <row r="91" spans="1:37" ht="16.5" customHeight="1">
      <c r="A91" s="139" t="s">
        <v>42</v>
      </c>
      <c r="B91" s="140">
        <v>50750</v>
      </c>
      <c r="C91" s="45"/>
      <c r="D91" s="45"/>
      <c r="E91" s="45"/>
      <c r="F91" s="45"/>
      <c r="G91" s="46" t="str">
        <f>IF(SUM(C92:F92)=0,"",IF(SUM(C91:F91)&lt;1,"&lt;100%",IF(SUM(C91:F91)&gt;1,"&gt;100%","OK")))</f>
        <v/>
      </c>
      <c r="H91" s="47">
        <v>26000</v>
      </c>
      <c r="I91" s="2"/>
      <c r="J91" s="48"/>
      <c r="K91" s="49">
        <f>'Leite_-_Produção'!U14</f>
        <v>18600</v>
      </c>
      <c r="L91" s="50"/>
      <c r="M91" s="141"/>
      <c r="N91" s="7"/>
      <c r="O91" s="51"/>
      <c r="Q91" s="52">
        <f>IF(OR(H91="",B91=""),"-",(D92+F92)/H91)</f>
        <v>0</v>
      </c>
      <c r="S91" s="32" t="str">
        <f t="shared" si="10"/>
        <v>20/21</v>
      </c>
      <c r="T91" s="1" t="str">
        <f t="shared" si="11"/>
        <v>0940</v>
      </c>
      <c r="U91" s="53">
        <v>7590</v>
      </c>
      <c r="V91" s="53"/>
      <c r="W91" s="44"/>
      <c r="X91" s="3">
        <f>+G97</f>
        <v>0</v>
      </c>
      <c r="Y91" s="40">
        <f>D97</f>
        <v>0</v>
      </c>
      <c r="Z91" s="54" t="s">
        <v>43</v>
      </c>
      <c r="AJ91" s="55"/>
    </row>
    <row r="92" spans="1:37" ht="16.5" customHeight="1">
      <c r="A92" s="139"/>
      <c r="B92" s="139"/>
      <c r="C92" s="56">
        <f>+C91*B91</f>
        <v>0</v>
      </c>
      <c r="D92" s="56">
        <f>+D91*B91</f>
        <v>0</v>
      </c>
      <c r="E92" s="56">
        <f>+E91*B91</f>
        <v>0</v>
      </c>
      <c r="F92" s="56">
        <f>+F91*B91</f>
        <v>0</v>
      </c>
      <c r="G92" s="38"/>
      <c r="H92" s="57"/>
      <c r="I92" s="2"/>
      <c r="J92" s="58"/>
      <c r="K92" s="57"/>
      <c r="L92" s="58"/>
      <c r="M92" s="141"/>
      <c r="N92" s="59"/>
      <c r="O92" s="60"/>
      <c r="P92" s="60"/>
      <c r="Q92" s="61"/>
      <c r="S92" s="32" t="str">
        <f t="shared" si="10"/>
        <v>20/21</v>
      </c>
      <c r="T92" s="1" t="str">
        <f t="shared" si="11"/>
        <v>0940</v>
      </c>
      <c r="U92" s="40" t="s">
        <v>44</v>
      </c>
      <c r="V92" s="40"/>
      <c r="W92" s="44"/>
      <c r="X92" s="44"/>
      <c r="Y92" s="40">
        <f>L97</f>
        <v>0</v>
      </c>
      <c r="Z92" s="42" t="s">
        <v>45</v>
      </c>
    </row>
    <row r="93" spans="1:37" ht="10.5" customHeight="1">
      <c r="A93" s="62"/>
      <c r="B93" s="63"/>
      <c r="C93" s="64"/>
      <c r="D93" s="64"/>
      <c r="E93" s="64"/>
      <c r="F93" s="64"/>
      <c r="G93" s="65"/>
      <c r="H93" s="60"/>
      <c r="I93" s="30"/>
      <c r="J93" s="60"/>
      <c r="K93" s="60"/>
      <c r="L93" s="60"/>
      <c r="M93" s="66"/>
      <c r="N93" s="60"/>
      <c r="O93" s="60"/>
      <c r="P93" s="60"/>
      <c r="Q93" s="60"/>
      <c r="S93" s="32" t="str">
        <f t="shared" si="10"/>
        <v>20/21</v>
      </c>
      <c r="T93" s="1" t="str">
        <f t="shared" si="11"/>
        <v>0940</v>
      </c>
      <c r="U93" s="40" t="s">
        <v>46</v>
      </c>
      <c r="V93" s="40"/>
      <c r="W93" s="44"/>
      <c r="X93" s="44"/>
      <c r="Y93" s="40">
        <f>L98</f>
        <v>0</v>
      </c>
      <c r="Z93" s="42" t="s">
        <v>47</v>
      </c>
    </row>
    <row r="94" spans="1:37" ht="16.5" customHeight="1">
      <c r="A94" s="137" t="s">
        <v>48</v>
      </c>
      <c r="B94" s="142" t="s">
        <v>49</v>
      </c>
      <c r="C94" s="142"/>
      <c r="D94" s="142"/>
      <c r="E94" s="142" t="s">
        <v>50</v>
      </c>
      <c r="F94" s="142"/>
      <c r="G94" s="142"/>
      <c r="H94" s="143" t="s">
        <v>51</v>
      </c>
      <c r="J94" s="144"/>
      <c r="K94" s="145" t="s">
        <v>48</v>
      </c>
      <c r="L94" s="142" t="s">
        <v>52</v>
      </c>
      <c r="M94" s="142"/>
      <c r="N94" s="142"/>
      <c r="O94" s="135" t="s">
        <v>53</v>
      </c>
      <c r="P94" s="135"/>
      <c r="Q94" s="135"/>
      <c r="S94" s="32" t="str">
        <f t="shared" si="10"/>
        <v>20/21</v>
      </c>
      <c r="T94" s="1" t="str">
        <f t="shared" si="11"/>
        <v>0940</v>
      </c>
      <c r="U94" s="40" t="s">
        <v>54</v>
      </c>
      <c r="V94" s="40"/>
      <c r="W94" s="44"/>
      <c r="X94" s="44"/>
      <c r="Y94" s="40">
        <f>M97</f>
        <v>0</v>
      </c>
      <c r="Z94" s="42" t="s">
        <v>55</v>
      </c>
      <c r="AJ94" s="55"/>
    </row>
    <row r="95" spans="1:37" ht="16.5" customHeight="1">
      <c r="A95" s="137"/>
      <c r="B95" s="136" t="s">
        <v>56</v>
      </c>
      <c r="C95" s="136" t="s">
        <v>57</v>
      </c>
      <c r="D95" s="136" t="s">
        <v>58</v>
      </c>
      <c r="E95" s="136" t="s">
        <v>56</v>
      </c>
      <c r="F95" s="136" t="s">
        <v>57</v>
      </c>
      <c r="G95" s="136" t="s">
        <v>58</v>
      </c>
      <c r="H95" s="143"/>
      <c r="J95" s="144"/>
      <c r="K95" s="145"/>
      <c r="L95" s="138" t="s">
        <v>59</v>
      </c>
      <c r="M95" s="138" t="s">
        <v>60</v>
      </c>
      <c r="N95" s="138" t="s">
        <v>61</v>
      </c>
      <c r="O95" s="135"/>
      <c r="P95" s="135"/>
      <c r="Q95" s="135"/>
      <c r="S95" s="32" t="str">
        <f t="shared" si="10"/>
        <v>20/21</v>
      </c>
      <c r="T95" s="1" t="str">
        <f t="shared" si="11"/>
        <v>0940</v>
      </c>
      <c r="U95" s="40" t="s">
        <v>62</v>
      </c>
      <c r="V95" s="40"/>
      <c r="Y95" s="40">
        <f>+M98</f>
        <v>0</v>
      </c>
      <c r="Z95" s="42" t="s">
        <v>63</v>
      </c>
    </row>
    <row r="96" spans="1:37" ht="18" customHeight="1">
      <c r="A96" s="137"/>
      <c r="B96" s="137"/>
      <c r="C96" s="137"/>
      <c r="D96" s="137"/>
      <c r="E96" s="137"/>
      <c r="F96" s="137"/>
      <c r="G96" s="137"/>
      <c r="H96" s="143"/>
      <c r="J96" s="144"/>
      <c r="K96" s="145"/>
      <c r="L96" s="138"/>
      <c r="M96" s="138"/>
      <c r="N96" s="138"/>
      <c r="O96" s="68" t="s">
        <v>64</v>
      </c>
      <c r="P96" s="68" t="s">
        <v>65</v>
      </c>
      <c r="Q96" s="68" t="s">
        <v>66</v>
      </c>
      <c r="R96" s="69" t="s">
        <v>67</v>
      </c>
      <c r="S96" s="32" t="str">
        <f t="shared" si="10"/>
        <v>20/21</v>
      </c>
      <c r="T96" s="1" t="str">
        <f t="shared" si="11"/>
        <v>0940</v>
      </c>
      <c r="U96" s="40" t="s">
        <v>68</v>
      </c>
      <c r="V96" s="40"/>
      <c r="Y96" s="40">
        <f>+N98</f>
        <v>0</v>
      </c>
      <c r="Z96" s="42" t="s">
        <v>69</v>
      </c>
      <c r="AI96" s="36"/>
    </row>
    <row r="97" spans="1:37" s="2" customFormat="1" ht="16.5" customHeight="1">
      <c r="A97" s="70" t="s">
        <v>70</v>
      </c>
      <c r="B97" s="71"/>
      <c r="C97" s="71"/>
      <c r="D97" s="72"/>
      <c r="E97" s="71"/>
      <c r="F97" s="71"/>
      <c r="G97" s="72"/>
      <c r="H97" s="73"/>
      <c r="J97" s="74">
        <f>B97*E97+C97*F97</f>
        <v>0</v>
      </c>
      <c r="K97" s="70" t="s">
        <v>70</v>
      </c>
      <c r="L97" s="71"/>
      <c r="M97" s="71"/>
      <c r="N97" s="71"/>
      <c r="O97" s="71"/>
      <c r="P97" s="71"/>
      <c r="Q97" s="71"/>
      <c r="R97" s="2">
        <f>H97/15</f>
        <v>0</v>
      </c>
      <c r="S97" s="75" t="str">
        <f t="shared" si="10"/>
        <v>20/21</v>
      </c>
      <c r="T97" s="2" t="str">
        <f t="shared" si="11"/>
        <v>0940</v>
      </c>
      <c r="U97" s="76">
        <v>7006</v>
      </c>
      <c r="V97" s="76"/>
      <c r="Y97" s="76">
        <f>O97</f>
        <v>0</v>
      </c>
      <c r="Z97" s="77" t="s">
        <v>71</v>
      </c>
    </row>
    <row r="98" spans="1:37" s="2" customFormat="1" ht="16.5" customHeight="1">
      <c r="A98" s="70" t="s">
        <v>72</v>
      </c>
      <c r="B98" s="71"/>
      <c r="C98" s="71"/>
      <c r="D98" s="78"/>
      <c r="E98" s="71"/>
      <c r="F98" s="71"/>
      <c r="G98" s="78"/>
      <c r="H98" s="73"/>
      <c r="J98" s="74">
        <f>B98*E98+C98*F98</f>
        <v>0</v>
      </c>
      <c r="K98" s="70" t="s">
        <v>72</v>
      </c>
      <c r="L98" s="71"/>
      <c r="M98" s="71"/>
      <c r="N98" s="79"/>
      <c r="O98" s="80"/>
      <c r="P98" s="81"/>
      <c r="Q98" s="81"/>
      <c r="R98" s="2">
        <f>H98/15</f>
        <v>0</v>
      </c>
      <c r="S98" s="75" t="str">
        <f t="shared" si="10"/>
        <v>20/21</v>
      </c>
      <c r="T98" s="2" t="str">
        <f t="shared" si="11"/>
        <v>0940</v>
      </c>
      <c r="U98" s="76">
        <v>7007</v>
      </c>
      <c r="V98" s="76"/>
      <c r="Y98" s="76">
        <f>P97</f>
        <v>0</v>
      </c>
      <c r="Z98" s="77" t="s">
        <v>73</v>
      </c>
    </row>
    <row r="99" spans="1:37" ht="18" customHeight="1">
      <c r="A99" s="67" t="s">
        <v>74</v>
      </c>
      <c r="B99" s="82">
        <f>IF(B91="","",(B98+B97)/B91)</f>
        <v>0</v>
      </c>
      <c r="C99" s="82">
        <f>IF(B91="","",(C98+C97)/B91)</f>
        <v>0</v>
      </c>
      <c r="D99" s="82">
        <f>IF(B91="","",(D98+D97)/B91)</f>
        <v>0</v>
      </c>
      <c r="E99" s="133" t="str">
        <f>IF(B91="","",IF(B99+C99+D99&gt;Bovinos!$AE$5," -&gt; índices (somados) acima da média",IF(B99+C99+D99&lt;Bovinos!$AE$4," -&gt; índices (somados) abaixo da média","")))</f>
        <v xml:space="preserve"> -&gt; índices (somados) abaixo da média</v>
      </c>
      <c r="F99" s="133"/>
      <c r="G99" s="133"/>
      <c r="H99" s="133"/>
      <c r="J99" s="83"/>
      <c r="K99" s="37" t="s">
        <v>74</v>
      </c>
      <c r="L99" s="84">
        <f>IF(B91="","-",(L98+L97)/B91)</f>
        <v>0</v>
      </c>
      <c r="M99" s="84">
        <f>IF(B91="","-",(M98+M97)/B91)</f>
        <v>0</v>
      </c>
      <c r="N99" s="84">
        <f>IF(B91="","-",(N98+N97+P97+O97+Q97)/B91)</f>
        <v>0</v>
      </c>
      <c r="O99" s="134" t="str">
        <f>IF(AND(L99="-",M99="-",N99="-"),"",IF(L99&gt;Bovinos!$AB$5," -&gt; índice(s) fora da faixa média",IF(L99&lt;Bovinos!$AB$4," -&gt; índice(s) fora da faixa média",IF(M99&gt;Bovinos!$AC$5," -&gt; índice(s) fora da faixa média",IF(M99&lt;Bovinos!$AC$4," -&gt; índice(s) fora da faixa média",IF(N99&gt;Bovinos!$AD$5," -&gt; índice(s) fora da faixa média",IF(N99&lt;Bovinos!$AD$4," -&gt; índice(s) fora da faixa média","")))))))</f>
        <v xml:space="preserve"> -&gt; índice(s) fora da faixa média</v>
      </c>
      <c r="P99" s="134"/>
      <c r="Q99" s="134"/>
      <c r="S99" s="32" t="str">
        <f t="shared" si="10"/>
        <v>20/21</v>
      </c>
      <c r="T99" s="1" t="str">
        <f t="shared" si="11"/>
        <v>0940</v>
      </c>
      <c r="U99" s="53">
        <v>7008</v>
      </c>
      <c r="V99" s="53"/>
      <c r="Y99" s="40">
        <f>Q97</f>
        <v>0</v>
      </c>
      <c r="Z99" s="54" t="s">
        <v>75</v>
      </c>
    </row>
    <row r="100" spans="1:37" s="85" customFormat="1" ht="23.25" customHeight="1">
      <c r="A100" s="85" t="s">
        <v>76</v>
      </c>
      <c r="B100" s="86">
        <f>B97+C97+D97</f>
        <v>0</v>
      </c>
      <c r="C100" s="86">
        <f>B98+C98</f>
        <v>0</v>
      </c>
      <c r="D100" s="86">
        <f>B100+C100</f>
        <v>0</v>
      </c>
      <c r="E100" s="87">
        <f>D100/B91</f>
        <v>0</v>
      </c>
      <c r="F100" s="88" t="e">
        <f>(C97+C98)/E92</f>
        <v>#DIV/0!</v>
      </c>
      <c r="S100" s="89" t="str">
        <f t="shared" si="10"/>
        <v>20/21</v>
      </c>
      <c r="T100" s="85" t="str">
        <f t="shared" si="11"/>
        <v>0940</v>
      </c>
      <c r="U100" s="90" t="s">
        <v>77</v>
      </c>
      <c r="V100" s="90"/>
      <c r="Y100" s="90">
        <f>+N97</f>
        <v>0</v>
      </c>
      <c r="Z100" s="91" t="s">
        <v>78</v>
      </c>
    </row>
    <row r="101" spans="1:37" s="92" customFormat="1" ht="18.2" customHeight="1">
      <c r="A101" s="92" t="s">
        <v>79</v>
      </c>
      <c r="B101" s="93" t="e">
        <f>SUM(B97:B98)/D100</f>
        <v>#DIV/0!</v>
      </c>
      <c r="C101" s="93" t="e">
        <f>SUM(C97:C98)/D100</f>
        <v>#DIV/0!</v>
      </c>
      <c r="D101" s="94">
        <f>C97+C98</f>
        <v>0</v>
      </c>
      <c r="E101" s="95" t="e">
        <f>F101/D100*100</f>
        <v>#DIV/0!</v>
      </c>
      <c r="F101" s="96">
        <f>3349+2318+97+249</f>
        <v>6013</v>
      </c>
      <c r="G101" s="92" t="s">
        <v>80</v>
      </c>
      <c r="L101" s="97"/>
      <c r="S101" s="98" t="str">
        <f t="shared" si="10"/>
        <v>20/21</v>
      </c>
      <c r="T101" s="92" t="str">
        <f t="shared" si="11"/>
        <v>0940</v>
      </c>
      <c r="U101" s="99" t="s">
        <v>81</v>
      </c>
      <c r="V101" s="99">
        <f>+H91</f>
        <v>26000</v>
      </c>
      <c r="Y101" s="99"/>
      <c r="Z101" s="100" t="s">
        <v>82</v>
      </c>
    </row>
    <row r="102" spans="1:37" ht="18.2" customHeight="1">
      <c r="S102" s="32"/>
      <c r="U102" s="40"/>
      <c r="V102" s="40"/>
      <c r="Y102" s="40"/>
      <c r="Z102" s="42"/>
    </row>
    <row r="103" spans="1:37" s="22" customFormat="1" ht="18" customHeight="1">
      <c r="A103" s="20" t="s">
        <v>20</v>
      </c>
      <c r="B103" s="20" t="s">
        <v>93</v>
      </c>
      <c r="C103" s="21" t="s">
        <v>94</v>
      </c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S103" s="23" t="str">
        <f t="shared" ref="S103:S117" si="12">+$T$5</f>
        <v>20/21</v>
      </c>
      <c r="T103" s="22" t="str">
        <f>+B103</f>
        <v>1930</v>
      </c>
      <c r="U103" s="24">
        <v>7014</v>
      </c>
      <c r="V103" s="24"/>
      <c r="W103" s="22">
        <f>K107</f>
        <v>12400</v>
      </c>
      <c r="Z103" s="25" t="s">
        <v>24</v>
      </c>
      <c r="AK103" s="26"/>
    </row>
    <row r="104" spans="1:37" s="1" customFormat="1" ht="6" customHeight="1">
      <c r="A104" s="101"/>
      <c r="B104" s="28"/>
      <c r="C104" s="29"/>
      <c r="D104" s="29"/>
      <c r="E104" s="29"/>
      <c r="F104" s="29"/>
      <c r="I104" s="30"/>
      <c r="M104" s="31"/>
      <c r="S104" s="32" t="str">
        <f t="shared" si="12"/>
        <v>20/21</v>
      </c>
      <c r="T104" s="1" t="str">
        <f t="shared" ref="T104:T117" si="13">+T103</f>
        <v>1930</v>
      </c>
      <c r="W104" s="13">
        <f>N107</f>
        <v>0</v>
      </c>
      <c r="Z104" s="1" t="s">
        <v>25</v>
      </c>
    </row>
    <row r="105" spans="1:37" ht="10.5" customHeight="1">
      <c r="A105" s="146"/>
      <c r="B105" s="139" t="s">
        <v>29</v>
      </c>
      <c r="C105" s="147" t="s">
        <v>30</v>
      </c>
      <c r="D105" s="147"/>
      <c r="E105" s="147" t="s">
        <v>31</v>
      </c>
      <c r="F105" s="147"/>
      <c r="G105" s="38"/>
      <c r="H105" s="147" t="s">
        <v>32</v>
      </c>
      <c r="J105" s="148"/>
      <c r="K105" s="147" t="s">
        <v>33</v>
      </c>
      <c r="L105" s="149"/>
      <c r="M105" s="150"/>
      <c r="N105" s="7"/>
      <c r="O105" s="39"/>
      <c r="Q105" s="143" t="s">
        <v>34</v>
      </c>
      <c r="S105" s="32" t="str">
        <f t="shared" si="12"/>
        <v>20/21</v>
      </c>
      <c r="T105" s="1" t="str">
        <f t="shared" si="13"/>
        <v>1930</v>
      </c>
      <c r="U105" s="40" t="s">
        <v>35</v>
      </c>
      <c r="V105" s="40"/>
      <c r="W105" s="40">
        <f>+B107</f>
        <v>59530</v>
      </c>
      <c r="X105" s="41">
        <f>+H113</f>
        <v>0</v>
      </c>
      <c r="Y105" s="40">
        <f>B113+C113</f>
        <v>0</v>
      </c>
      <c r="Z105" s="42" t="s">
        <v>36</v>
      </c>
      <c r="AB105" s="22"/>
      <c r="AC105" s="22"/>
      <c r="AD105" s="22"/>
      <c r="AE105" s="22"/>
      <c r="AF105" s="22"/>
    </row>
    <row r="106" spans="1:37" ht="12" customHeight="1">
      <c r="A106" s="146"/>
      <c r="B106" s="139"/>
      <c r="C106" s="43" t="s">
        <v>38</v>
      </c>
      <c r="D106" s="43" t="s">
        <v>39</v>
      </c>
      <c r="E106" s="43" t="s">
        <v>38</v>
      </c>
      <c r="F106" s="43" t="s">
        <v>39</v>
      </c>
      <c r="G106" s="38"/>
      <c r="H106" s="147"/>
      <c r="J106" s="148"/>
      <c r="K106" s="147"/>
      <c r="L106" s="149"/>
      <c r="M106" s="150"/>
      <c r="N106" s="7"/>
      <c r="O106" s="39"/>
      <c r="Q106" s="143"/>
      <c r="S106" s="32" t="str">
        <f t="shared" si="12"/>
        <v>20/21</v>
      </c>
      <c r="T106" s="1" t="str">
        <f t="shared" si="13"/>
        <v>1930</v>
      </c>
      <c r="U106" s="40" t="s">
        <v>40</v>
      </c>
      <c r="V106" s="40"/>
      <c r="W106" s="44"/>
      <c r="X106" s="41">
        <f>H114</f>
        <v>0</v>
      </c>
      <c r="Y106" s="40">
        <f>B114+C114</f>
        <v>0</v>
      </c>
      <c r="Z106" s="42" t="s">
        <v>41</v>
      </c>
    </row>
    <row r="107" spans="1:37" ht="16.5" customHeight="1">
      <c r="A107" s="139" t="s">
        <v>42</v>
      </c>
      <c r="B107" s="140">
        <v>59530</v>
      </c>
      <c r="C107" s="45"/>
      <c r="D107" s="45"/>
      <c r="E107" s="45"/>
      <c r="F107" s="45"/>
      <c r="G107" s="46" t="str">
        <f>IF(SUM(C108:F108)=0,"",IF(SUM(C107:F107)&lt;1,"&lt;100%",IF(SUM(C107:F107)&gt;1,"&gt;100%","OK")))</f>
        <v/>
      </c>
      <c r="H107" s="47"/>
      <c r="I107" s="2"/>
      <c r="J107" s="48"/>
      <c r="K107" s="49">
        <f>'Leite_-_Produção'!U15</f>
        <v>12400</v>
      </c>
      <c r="L107" s="50"/>
      <c r="M107" s="141"/>
      <c r="N107" s="7"/>
      <c r="O107" s="51"/>
      <c r="Q107" s="52" t="str">
        <f>IF(OR(H107="",B107=""),"-",(D108+F108)/H107)</f>
        <v>-</v>
      </c>
      <c r="S107" s="32" t="str">
        <f t="shared" si="12"/>
        <v>20/21</v>
      </c>
      <c r="T107" s="1" t="str">
        <f t="shared" si="13"/>
        <v>1930</v>
      </c>
      <c r="U107" s="53">
        <v>7590</v>
      </c>
      <c r="V107" s="53"/>
      <c r="W107" s="44"/>
      <c r="X107" s="3">
        <f>+G113</f>
        <v>0</v>
      </c>
      <c r="Y107" s="40">
        <f>D113</f>
        <v>0</v>
      </c>
      <c r="Z107" s="54" t="s">
        <v>43</v>
      </c>
      <c r="AJ107" s="55"/>
    </row>
    <row r="108" spans="1:37" ht="16.5" customHeight="1">
      <c r="A108" s="139"/>
      <c r="B108" s="139"/>
      <c r="C108" s="56">
        <f>+C107*B107</f>
        <v>0</v>
      </c>
      <c r="D108" s="56">
        <f>+D107*B107</f>
        <v>0</v>
      </c>
      <c r="E108" s="56">
        <f>+E107*B107</f>
        <v>0</v>
      </c>
      <c r="F108" s="56">
        <f>+F107*B107</f>
        <v>0</v>
      </c>
      <c r="G108" s="38"/>
      <c r="H108" s="57"/>
      <c r="I108" s="2"/>
      <c r="J108" s="58"/>
      <c r="K108" s="57"/>
      <c r="L108" s="58"/>
      <c r="M108" s="141"/>
      <c r="N108" s="59"/>
      <c r="O108" s="60"/>
      <c r="P108" s="60"/>
      <c r="Q108" s="61"/>
      <c r="S108" s="32" t="str">
        <f t="shared" si="12"/>
        <v>20/21</v>
      </c>
      <c r="T108" s="1" t="str">
        <f t="shared" si="13"/>
        <v>1930</v>
      </c>
      <c r="U108" s="40" t="s">
        <v>44</v>
      </c>
      <c r="V108" s="40"/>
      <c r="W108" s="44"/>
      <c r="X108" s="44"/>
      <c r="Y108" s="40">
        <f>L113</f>
        <v>0</v>
      </c>
      <c r="Z108" s="42" t="s">
        <v>45</v>
      </c>
    </row>
    <row r="109" spans="1:37" ht="10.5" customHeight="1">
      <c r="A109" s="62"/>
      <c r="B109" s="63"/>
      <c r="C109" s="64"/>
      <c r="D109" s="64"/>
      <c r="E109" s="64"/>
      <c r="F109" s="64"/>
      <c r="G109" s="65"/>
      <c r="H109" s="60"/>
      <c r="I109" s="30"/>
      <c r="J109" s="60"/>
      <c r="K109" s="60"/>
      <c r="L109" s="60"/>
      <c r="M109" s="66"/>
      <c r="N109" s="60"/>
      <c r="O109" s="60"/>
      <c r="P109" s="60"/>
      <c r="Q109" s="60"/>
      <c r="S109" s="32" t="str">
        <f t="shared" si="12"/>
        <v>20/21</v>
      </c>
      <c r="T109" s="1" t="str">
        <f t="shared" si="13"/>
        <v>1930</v>
      </c>
      <c r="U109" s="40" t="s">
        <v>46</v>
      </c>
      <c r="V109" s="40"/>
      <c r="W109" s="44"/>
      <c r="X109" s="44"/>
      <c r="Y109" s="40">
        <f>L114</f>
        <v>0</v>
      </c>
      <c r="Z109" s="42" t="s">
        <v>47</v>
      </c>
    </row>
    <row r="110" spans="1:37" ht="16.5" customHeight="1">
      <c r="A110" s="137" t="s">
        <v>48</v>
      </c>
      <c r="B110" s="142" t="s">
        <v>49</v>
      </c>
      <c r="C110" s="142"/>
      <c r="D110" s="142"/>
      <c r="E110" s="142" t="s">
        <v>50</v>
      </c>
      <c r="F110" s="142"/>
      <c r="G110" s="142"/>
      <c r="H110" s="143" t="s">
        <v>51</v>
      </c>
      <c r="J110" s="144"/>
      <c r="K110" s="145" t="s">
        <v>48</v>
      </c>
      <c r="L110" s="142" t="s">
        <v>52</v>
      </c>
      <c r="M110" s="142"/>
      <c r="N110" s="142"/>
      <c r="O110" s="135" t="s">
        <v>53</v>
      </c>
      <c r="P110" s="135"/>
      <c r="Q110" s="135"/>
      <c r="S110" s="32" t="str">
        <f t="shared" si="12"/>
        <v>20/21</v>
      </c>
      <c r="T110" s="1" t="str">
        <f t="shared" si="13"/>
        <v>1930</v>
      </c>
      <c r="U110" s="40" t="s">
        <v>54</v>
      </c>
      <c r="V110" s="40"/>
      <c r="W110" s="44"/>
      <c r="X110" s="44"/>
      <c r="Y110" s="40">
        <f>M113</f>
        <v>0</v>
      </c>
      <c r="Z110" s="42" t="s">
        <v>55</v>
      </c>
      <c r="AJ110" s="55"/>
    </row>
    <row r="111" spans="1:37" ht="16.5" customHeight="1">
      <c r="A111" s="137"/>
      <c r="B111" s="136" t="s">
        <v>56</v>
      </c>
      <c r="C111" s="136" t="s">
        <v>57</v>
      </c>
      <c r="D111" s="136" t="s">
        <v>58</v>
      </c>
      <c r="E111" s="136" t="s">
        <v>56</v>
      </c>
      <c r="F111" s="136" t="s">
        <v>57</v>
      </c>
      <c r="G111" s="136" t="s">
        <v>58</v>
      </c>
      <c r="H111" s="143"/>
      <c r="J111" s="144"/>
      <c r="K111" s="145"/>
      <c r="L111" s="138" t="s">
        <v>59</v>
      </c>
      <c r="M111" s="138" t="s">
        <v>60</v>
      </c>
      <c r="N111" s="138" t="s">
        <v>61</v>
      </c>
      <c r="O111" s="135"/>
      <c r="P111" s="135"/>
      <c r="Q111" s="135"/>
      <c r="S111" s="32" t="str">
        <f t="shared" si="12"/>
        <v>20/21</v>
      </c>
      <c r="T111" s="1" t="str">
        <f t="shared" si="13"/>
        <v>1930</v>
      </c>
      <c r="U111" s="40" t="s">
        <v>62</v>
      </c>
      <c r="V111" s="40"/>
      <c r="Y111" s="40">
        <f>+M114</f>
        <v>0</v>
      </c>
      <c r="Z111" s="42" t="s">
        <v>63</v>
      </c>
    </row>
    <row r="112" spans="1:37" ht="18" customHeight="1">
      <c r="A112" s="137"/>
      <c r="B112" s="137"/>
      <c r="C112" s="137"/>
      <c r="D112" s="137"/>
      <c r="E112" s="137"/>
      <c r="F112" s="137"/>
      <c r="G112" s="137"/>
      <c r="H112" s="143"/>
      <c r="J112" s="144"/>
      <c r="K112" s="145"/>
      <c r="L112" s="138"/>
      <c r="M112" s="138"/>
      <c r="N112" s="138"/>
      <c r="O112" s="68" t="s">
        <v>64</v>
      </c>
      <c r="P112" s="68" t="s">
        <v>65</v>
      </c>
      <c r="Q112" s="68" t="s">
        <v>66</v>
      </c>
      <c r="R112" s="69" t="s">
        <v>67</v>
      </c>
      <c r="S112" s="32" t="str">
        <f t="shared" si="12"/>
        <v>20/21</v>
      </c>
      <c r="T112" s="1" t="str">
        <f t="shared" si="13"/>
        <v>1930</v>
      </c>
      <c r="U112" s="40" t="s">
        <v>68</v>
      </c>
      <c r="V112" s="40"/>
      <c r="Y112" s="40">
        <f>+N114</f>
        <v>0</v>
      </c>
      <c r="Z112" s="42" t="s">
        <v>69</v>
      </c>
      <c r="AI112" s="36"/>
    </row>
    <row r="113" spans="1:37" s="2" customFormat="1" ht="16.5" customHeight="1">
      <c r="A113" s="70" t="s">
        <v>70</v>
      </c>
      <c r="B113" s="71"/>
      <c r="C113" s="71"/>
      <c r="D113" s="72"/>
      <c r="E113" s="71"/>
      <c r="F113" s="71"/>
      <c r="G113" s="72"/>
      <c r="H113" s="73"/>
      <c r="J113" s="74">
        <f>B113*E113+C113*F113</f>
        <v>0</v>
      </c>
      <c r="K113" s="70" t="s">
        <v>70</v>
      </c>
      <c r="L113" s="71"/>
      <c r="M113" s="71"/>
      <c r="N113" s="71"/>
      <c r="O113" s="71"/>
      <c r="P113" s="71"/>
      <c r="Q113" s="71"/>
      <c r="R113" s="2">
        <f>H113/15</f>
        <v>0</v>
      </c>
      <c r="S113" s="75" t="str">
        <f t="shared" si="12"/>
        <v>20/21</v>
      </c>
      <c r="T113" s="2" t="str">
        <f t="shared" si="13"/>
        <v>1930</v>
      </c>
      <c r="U113" s="76">
        <v>7006</v>
      </c>
      <c r="V113" s="76"/>
      <c r="Y113" s="76">
        <f>O113</f>
        <v>0</v>
      </c>
      <c r="Z113" s="77" t="s">
        <v>71</v>
      </c>
    </row>
    <row r="114" spans="1:37" s="2" customFormat="1" ht="16.5" customHeight="1">
      <c r="A114" s="70" t="s">
        <v>72</v>
      </c>
      <c r="B114" s="71"/>
      <c r="C114" s="71"/>
      <c r="D114" s="78"/>
      <c r="E114" s="71"/>
      <c r="F114" s="71"/>
      <c r="G114" s="78"/>
      <c r="H114" s="73"/>
      <c r="J114" s="74">
        <f>B114*E114+C114*F114</f>
        <v>0</v>
      </c>
      <c r="K114" s="70" t="s">
        <v>72</v>
      </c>
      <c r="L114" s="71"/>
      <c r="M114" s="71"/>
      <c r="N114" s="79"/>
      <c r="O114" s="80"/>
      <c r="P114" s="81"/>
      <c r="Q114" s="81"/>
      <c r="R114" s="2">
        <f>H114/15</f>
        <v>0</v>
      </c>
      <c r="S114" s="75" t="str">
        <f t="shared" si="12"/>
        <v>20/21</v>
      </c>
      <c r="T114" s="2" t="str">
        <f t="shared" si="13"/>
        <v>1930</v>
      </c>
      <c r="U114" s="76">
        <v>7007</v>
      </c>
      <c r="V114" s="76"/>
      <c r="Y114" s="76">
        <f>P113</f>
        <v>0</v>
      </c>
      <c r="Z114" s="77" t="s">
        <v>73</v>
      </c>
    </row>
    <row r="115" spans="1:37" ht="18" customHeight="1">
      <c r="A115" s="67" t="s">
        <v>74</v>
      </c>
      <c r="B115" s="82">
        <f>IF(B107="","",(B114+B113)/B107)</f>
        <v>0</v>
      </c>
      <c r="C115" s="82">
        <f>IF(B107="","",(C114+C113)/B107)</f>
        <v>0</v>
      </c>
      <c r="D115" s="82">
        <f>IF(B107="","",(D114+D113)/B107)</f>
        <v>0</v>
      </c>
      <c r="E115" s="133" t="str">
        <f>IF(B107="","",IF(B115+C115+D115&gt;Bovinos!$AE$5," -&gt; índices (somados) acima da média",IF(B115+C115+D115&lt;Bovinos!$AE$4," -&gt; índices (somados) abaixo da média","")))</f>
        <v xml:space="preserve"> -&gt; índices (somados) abaixo da média</v>
      </c>
      <c r="F115" s="133"/>
      <c r="G115" s="133"/>
      <c r="H115" s="133"/>
      <c r="J115" s="83"/>
      <c r="K115" s="37" t="s">
        <v>74</v>
      </c>
      <c r="L115" s="84">
        <f>IF(B107="","-",(L114+L113)/B107)</f>
        <v>0</v>
      </c>
      <c r="M115" s="84">
        <f>IF(B107="","-",(M114+M113)/B107)</f>
        <v>0</v>
      </c>
      <c r="N115" s="84">
        <f>IF(B107="","-",(N114+N113+P113+O113+Q113)/B107)</f>
        <v>0</v>
      </c>
      <c r="O115" s="134" t="str">
        <f>IF(AND(L115="-",M115="-",N115="-"),"",IF(L115&gt;Bovinos!$AB$5," -&gt; índice(s) fora da faixa média",IF(L115&lt;Bovinos!$AB$4," -&gt; índice(s) fora da faixa média",IF(M115&gt;Bovinos!$AC$5," -&gt; índice(s) fora da faixa média",IF(M115&lt;Bovinos!$AC$4," -&gt; índice(s) fora da faixa média",IF(N115&gt;Bovinos!$AD$5," -&gt; índice(s) fora da faixa média",IF(N115&lt;Bovinos!$AD$4," -&gt; índice(s) fora da faixa média","")))))))</f>
        <v xml:space="preserve"> -&gt; índice(s) fora da faixa média</v>
      </c>
      <c r="P115" s="134"/>
      <c r="Q115" s="134"/>
      <c r="S115" s="32" t="str">
        <f t="shared" si="12"/>
        <v>20/21</v>
      </c>
      <c r="T115" s="1" t="str">
        <f t="shared" si="13"/>
        <v>1930</v>
      </c>
      <c r="U115" s="53">
        <v>7008</v>
      </c>
      <c r="V115" s="53"/>
      <c r="Y115" s="40">
        <f>Q113</f>
        <v>0</v>
      </c>
      <c r="Z115" s="54" t="s">
        <v>75</v>
      </c>
    </row>
    <row r="116" spans="1:37" s="85" customFormat="1" ht="23.25" customHeight="1">
      <c r="A116" s="85" t="s">
        <v>76</v>
      </c>
      <c r="B116" s="86">
        <f>B113+C113+D113</f>
        <v>0</v>
      </c>
      <c r="C116" s="86">
        <f>B114+C114</f>
        <v>0</v>
      </c>
      <c r="D116" s="86">
        <f>B116+C116</f>
        <v>0</v>
      </c>
      <c r="E116" s="87">
        <f>D116/B107</f>
        <v>0</v>
      </c>
      <c r="F116" s="88" t="e">
        <f>(C113+C114)/E108</f>
        <v>#DIV/0!</v>
      </c>
      <c r="S116" s="89" t="str">
        <f t="shared" si="12"/>
        <v>20/21</v>
      </c>
      <c r="T116" s="85" t="str">
        <f t="shared" si="13"/>
        <v>1930</v>
      </c>
      <c r="U116" s="90" t="s">
        <v>77</v>
      </c>
      <c r="V116" s="90"/>
      <c r="Y116" s="90">
        <f>+N113</f>
        <v>0</v>
      </c>
      <c r="Z116" s="91" t="s">
        <v>78</v>
      </c>
    </row>
    <row r="117" spans="1:37" s="92" customFormat="1" ht="18.2" customHeight="1">
      <c r="A117" s="92" t="s">
        <v>79</v>
      </c>
      <c r="B117" s="93" t="e">
        <f>SUM(B113:B114)/D116</f>
        <v>#DIV/0!</v>
      </c>
      <c r="C117" s="93" t="e">
        <f>SUM(C113:C114)/D116</f>
        <v>#DIV/0!</v>
      </c>
      <c r="D117" s="94">
        <f>C113+C114</f>
        <v>0</v>
      </c>
      <c r="E117" s="95" t="e">
        <f>F117/D116*100</f>
        <v>#DIV/0!</v>
      </c>
      <c r="F117" s="96">
        <f>1819+1140</f>
        <v>2959</v>
      </c>
      <c r="G117" s="92" t="s">
        <v>80</v>
      </c>
      <c r="L117" s="97"/>
      <c r="S117" s="98" t="str">
        <f t="shared" si="12"/>
        <v>20/21</v>
      </c>
      <c r="T117" s="92" t="str">
        <f t="shared" si="13"/>
        <v>1930</v>
      </c>
      <c r="U117" s="99" t="s">
        <v>81</v>
      </c>
      <c r="V117" s="99">
        <f>+H107</f>
        <v>0</v>
      </c>
      <c r="Y117" s="99"/>
      <c r="Z117" s="100" t="s">
        <v>82</v>
      </c>
    </row>
    <row r="118" spans="1:37" ht="18.2" customHeight="1">
      <c r="S118" s="32"/>
      <c r="U118" s="40"/>
      <c r="V118" s="40"/>
      <c r="Y118" s="40"/>
      <c r="Z118" s="42"/>
    </row>
    <row r="119" spans="1:37" s="22" customFormat="1" ht="18" customHeight="1">
      <c r="A119" s="20" t="s">
        <v>20</v>
      </c>
      <c r="B119" s="20" t="s">
        <v>95</v>
      </c>
      <c r="C119" s="21" t="s">
        <v>96</v>
      </c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S119" s="23" t="str">
        <f t="shared" ref="S119:S133" si="14">+$T$5</f>
        <v>20/21</v>
      </c>
      <c r="T119" s="22" t="str">
        <f>+B119</f>
        <v>2060</v>
      </c>
      <c r="U119" s="24">
        <v>7014</v>
      </c>
      <c r="V119" s="24"/>
      <c r="W119" s="22">
        <f>K123</f>
        <v>22350</v>
      </c>
      <c r="Z119" s="25" t="s">
        <v>24</v>
      </c>
      <c r="AK119" s="26"/>
    </row>
    <row r="120" spans="1:37" s="1" customFormat="1" ht="6" customHeight="1">
      <c r="A120" s="101"/>
      <c r="B120" s="28"/>
      <c r="C120" s="29"/>
      <c r="D120" s="29"/>
      <c r="E120" s="29"/>
      <c r="F120" s="29"/>
      <c r="I120" s="30"/>
      <c r="M120" s="31"/>
      <c r="S120" s="32" t="str">
        <f t="shared" si="14"/>
        <v>20/21</v>
      </c>
      <c r="T120" s="1" t="str">
        <f t="shared" ref="T120:T133" si="15">+T119</f>
        <v>2060</v>
      </c>
      <c r="W120" s="13">
        <f>N123</f>
        <v>0</v>
      </c>
      <c r="Z120" s="1" t="s">
        <v>25</v>
      </c>
    </row>
    <row r="121" spans="1:37" ht="10.5" customHeight="1">
      <c r="A121" s="146"/>
      <c r="B121" s="139" t="s">
        <v>29</v>
      </c>
      <c r="C121" s="147" t="s">
        <v>30</v>
      </c>
      <c r="D121" s="147"/>
      <c r="E121" s="147" t="s">
        <v>31</v>
      </c>
      <c r="F121" s="147"/>
      <c r="G121" s="38"/>
      <c r="H121" s="147" t="s">
        <v>32</v>
      </c>
      <c r="J121" s="148"/>
      <c r="K121" s="147" t="s">
        <v>33</v>
      </c>
      <c r="L121" s="149"/>
      <c r="M121" s="150"/>
      <c r="N121" s="7"/>
      <c r="O121" s="39"/>
      <c r="Q121" s="143" t="s">
        <v>34</v>
      </c>
      <c r="S121" s="32" t="str">
        <f t="shared" si="14"/>
        <v>20/21</v>
      </c>
      <c r="T121" s="1" t="str">
        <f t="shared" si="15"/>
        <v>2060</v>
      </c>
      <c r="U121" s="40" t="s">
        <v>35</v>
      </c>
      <c r="V121" s="40"/>
      <c r="W121" s="40">
        <f>+B123</f>
        <v>76230</v>
      </c>
      <c r="X121" s="41">
        <f>+H129</f>
        <v>0</v>
      </c>
      <c r="Y121" s="40">
        <f>B129+C129</f>
        <v>0</v>
      </c>
      <c r="Z121" s="42" t="s">
        <v>36</v>
      </c>
      <c r="AB121" s="22"/>
      <c r="AC121" s="22"/>
      <c r="AD121" s="22"/>
      <c r="AE121" s="22"/>
      <c r="AF121" s="22"/>
    </row>
    <row r="122" spans="1:37" ht="12" customHeight="1">
      <c r="A122" s="146"/>
      <c r="B122" s="139"/>
      <c r="C122" s="43" t="s">
        <v>38</v>
      </c>
      <c r="D122" s="43" t="s">
        <v>39</v>
      </c>
      <c r="E122" s="43" t="s">
        <v>38</v>
      </c>
      <c r="F122" s="43" t="s">
        <v>39</v>
      </c>
      <c r="G122" s="38"/>
      <c r="H122" s="147"/>
      <c r="J122" s="148"/>
      <c r="K122" s="147"/>
      <c r="L122" s="149"/>
      <c r="M122" s="150"/>
      <c r="N122" s="7"/>
      <c r="O122" s="39"/>
      <c r="Q122" s="143"/>
      <c r="S122" s="32" t="str">
        <f t="shared" si="14"/>
        <v>20/21</v>
      </c>
      <c r="T122" s="1" t="str">
        <f t="shared" si="15"/>
        <v>2060</v>
      </c>
      <c r="U122" s="40" t="s">
        <v>40</v>
      </c>
      <c r="V122" s="40"/>
      <c r="W122" s="44"/>
      <c r="X122" s="41">
        <f>H130</f>
        <v>0</v>
      </c>
      <c r="Y122" s="40">
        <f>B130+C130</f>
        <v>0</v>
      </c>
      <c r="Z122" s="42" t="s">
        <v>41</v>
      </c>
    </row>
    <row r="123" spans="1:37" ht="16.5" customHeight="1">
      <c r="A123" s="139" t="s">
        <v>42</v>
      </c>
      <c r="B123" s="140">
        <v>76230</v>
      </c>
      <c r="C123" s="45"/>
      <c r="D123" s="45"/>
      <c r="E123" s="45"/>
      <c r="F123" s="45"/>
      <c r="G123" s="46" t="str">
        <f>IF(SUM(C124:F124)=0,"",IF(SUM(C123:F123)&lt;1,"&lt;100%",IF(SUM(C123:F123)&gt;1,"&gt;100%","OK")))</f>
        <v/>
      </c>
      <c r="H123" s="47"/>
      <c r="I123" s="2"/>
      <c r="J123" s="48"/>
      <c r="K123" s="49">
        <f>'Leite_-_Produção'!U16</f>
        <v>22350</v>
      </c>
      <c r="L123" s="50"/>
      <c r="M123" s="141"/>
      <c r="N123" s="7"/>
      <c r="O123" s="51"/>
      <c r="Q123" s="52" t="str">
        <f>IF(OR(H123="",B123=""),"-",(D124+F124)/H123)</f>
        <v>-</v>
      </c>
      <c r="S123" s="32" t="str">
        <f t="shared" si="14"/>
        <v>20/21</v>
      </c>
      <c r="T123" s="1" t="str">
        <f t="shared" si="15"/>
        <v>2060</v>
      </c>
      <c r="U123" s="53">
        <v>7590</v>
      </c>
      <c r="V123" s="53"/>
      <c r="W123" s="44"/>
      <c r="X123" s="3">
        <f>+G129</f>
        <v>0</v>
      </c>
      <c r="Y123" s="40">
        <f>D129</f>
        <v>0</v>
      </c>
      <c r="Z123" s="54" t="s">
        <v>43</v>
      </c>
      <c r="AJ123" s="55"/>
    </row>
    <row r="124" spans="1:37" ht="16.5" customHeight="1">
      <c r="A124" s="139"/>
      <c r="B124" s="139"/>
      <c r="C124" s="56">
        <f>+C123*B123</f>
        <v>0</v>
      </c>
      <c r="D124" s="56">
        <f>+D123*B123</f>
        <v>0</v>
      </c>
      <c r="E124" s="56">
        <f>+E123*B123</f>
        <v>0</v>
      </c>
      <c r="F124" s="56">
        <f>+F123*B123</f>
        <v>0</v>
      </c>
      <c r="G124" s="38"/>
      <c r="H124" s="57"/>
      <c r="I124" s="2"/>
      <c r="J124" s="58"/>
      <c r="K124" s="57"/>
      <c r="L124" s="58"/>
      <c r="M124" s="141"/>
      <c r="N124" s="59"/>
      <c r="O124" s="60"/>
      <c r="P124" s="60"/>
      <c r="Q124" s="61"/>
      <c r="S124" s="32" t="str">
        <f t="shared" si="14"/>
        <v>20/21</v>
      </c>
      <c r="T124" s="1" t="str">
        <f t="shared" si="15"/>
        <v>2060</v>
      </c>
      <c r="U124" s="40" t="s">
        <v>44</v>
      </c>
      <c r="V124" s="40"/>
      <c r="W124" s="44"/>
      <c r="X124" s="44"/>
      <c r="Y124" s="40">
        <f>L129</f>
        <v>0</v>
      </c>
      <c r="Z124" s="42" t="s">
        <v>45</v>
      </c>
    </row>
    <row r="125" spans="1:37" ht="10.5" customHeight="1">
      <c r="A125" s="62"/>
      <c r="B125" s="63"/>
      <c r="C125" s="64"/>
      <c r="D125" s="64"/>
      <c r="E125" s="64"/>
      <c r="F125" s="64"/>
      <c r="G125" s="65"/>
      <c r="H125" s="60"/>
      <c r="I125" s="30"/>
      <c r="J125" s="60"/>
      <c r="K125" s="60"/>
      <c r="L125" s="60"/>
      <c r="M125" s="66"/>
      <c r="N125" s="60"/>
      <c r="O125" s="60"/>
      <c r="P125" s="60"/>
      <c r="Q125" s="60"/>
      <c r="S125" s="32" t="str">
        <f t="shared" si="14"/>
        <v>20/21</v>
      </c>
      <c r="T125" s="1" t="str">
        <f t="shared" si="15"/>
        <v>2060</v>
      </c>
      <c r="U125" s="40" t="s">
        <v>46</v>
      </c>
      <c r="V125" s="40"/>
      <c r="W125" s="44"/>
      <c r="X125" s="44"/>
      <c r="Y125" s="40">
        <f>L130</f>
        <v>0</v>
      </c>
      <c r="Z125" s="42" t="s">
        <v>47</v>
      </c>
    </row>
    <row r="126" spans="1:37" ht="16.5" customHeight="1">
      <c r="A126" s="137" t="s">
        <v>48</v>
      </c>
      <c r="B126" s="142" t="s">
        <v>49</v>
      </c>
      <c r="C126" s="142"/>
      <c r="D126" s="142"/>
      <c r="E126" s="142" t="s">
        <v>50</v>
      </c>
      <c r="F126" s="142"/>
      <c r="G126" s="142"/>
      <c r="H126" s="143" t="s">
        <v>51</v>
      </c>
      <c r="J126" s="144"/>
      <c r="K126" s="145" t="s">
        <v>48</v>
      </c>
      <c r="L126" s="142" t="s">
        <v>52</v>
      </c>
      <c r="M126" s="142"/>
      <c r="N126" s="142"/>
      <c r="O126" s="135" t="s">
        <v>53</v>
      </c>
      <c r="P126" s="135"/>
      <c r="Q126" s="135"/>
      <c r="S126" s="32" t="str">
        <f t="shared" si="14"/>
        <v>20/21</v>
      </c>
      <c r="T126" s="1" t="str">
        <f t="shared" si="15"/>
        <v>2060</v>
      </c>
      <c r="U126" s="40" t="s">
        <v>54</v>
      </c>
      <c r="V126" s="40"/>
      <c r="W126" s="44"/>
      <c r="X126" s="44"/>
      <c r="Y126" s="40">
        <f>M129</f>
        <v>0</v>
      </c>
      <c r="Z126" s="42" t="s">
        <v>55</v>
      </c>
      <c r="AJ126" s="55"/>
    </row>
    <row r="127" spans="1:37" ht="16.5" customHeight="1">
      <c r="A127" s="137"/>
      <c r="B127" s="136" t="s">
        <v>56</v>
      </c>
      <c r="C127" s="136" t="s">
        <v>57</v>
      </c>
      <c r="D127" s="136" t="s">
        <v>58</v>
      </c>
      <c r="E127" s="136" t="s">
        <v>56</v>
      </c>
      <c r="F127" s="136" t="s">
        <v>57</v>
      </c>
      <c r="G127" s="136" t="s">
        <v>58</v>
      </c>
      <c r="H127" s="143"/>
      <c r="J127" s="144"/>
      <c r="K127" s="145"/>
      <c r="L127" s="138" t="s">
        <v>59</v>
      </c>
      <c r="M127" s="138" t="s">
        <v>60</v>
      </c>
      <c r="N127" s="138" t="s">
        <v>61</v>
      </c>
      <c r="O127" s="135"/>
      <c r="P127" s="135"/>
      <c r="Q127" s="135"/>
      <c r="S127" s="32" t="str">
        <f t="shared" si="14"/>
        <v>20/21</v>
      </c>
      <c r="T127" s="1" t="str">
        <f t="shared" si="15"/>
        <v>2060</v>
      </c>
      <c r="U127" s="40" t="s">
        <v>62</v>
      </c>
      <c r="V127" s="40"/>
      <c r="Y127" s="40">
        <f>+M130</f>
        <v>0</v>
      </c>
      <c r="Z127" s="42" t="s">
        <v>63</v>
      </c>
    </row>
    <row r="128" spans="1:37" ht="18" customHeight="1">
      <c r="A128" s="137"/>
      <c r="B128" s="137"/>
      <c r="C128" s="137"/>
      <c r="D128" s="137"/>
      <c r="E128" s="137"/>
      <c r="F128" s="137"/>
      <c r="G128" s="137"/>
      <c r="H128" s="143"/>
      <c r="J128" s="144"/>
      <c r="K128" s="145"/>
      <c r="L128" s="138"/>
      <c r="M128" s="138"/>
      <c r="N128" s="138"/>
      <c r="O128" s="68" t="s">
        <v>64</v>
      </c>
      <c r="P128" s="68" t="s">
        <v>65</v>
      </c>
      <c r="Q128" s="68" t="s">
        <v>66</v>
      </c>
      <c r="R128" s="69" t="s">
        <v>67</v>
      </c>
      <c r="S128" s="32" t="str">
        <f t="shared" si="14"/>
        <v>20/21</v>
      </c>
      <c r="T128" s="1" t="str">
        <f t="shared" si="15"/>
        <v>2060</v>
      </c>
      <c r="U128" s="40" t="s">
        <v>68</v>
      </c>
      <c r="V128" s="40"/>
      <c r="Y128" s="40">
        <f>+N130</f>
        <v>0</v>
      </c>
      <c r="Z128" s="42" t="s">
        <v>69</v>
      </c>
      <c r="AI128" s="36"/>
    </row>
    <row r="129" spans="1:37" s="2" customFormat="1" ht="16.5" customHeight="1">
      <c r="A129" s="70" t="s">
        <v>70</v>
      </c>
      <c r="B129" s="71"/>
      <c r="C129" s="71"/>
      <c r="D129" s="72"/>
      <c r="E129" s="71"/>
      <c r="F129" s="71"/>
      <c r="G129" s="72"/>
      <c r="H129" s="73"/>
      <c r="J129" s="74">
        <f>B129*E129+C129*F129</f>
        <v>0</v>
      </c>
      <c r="K129" s="70" t="s">
        <v>70</v>
      </c>
      <c r="L129" s="71"/>
      <c r="M129" s="71"/>
      <c r="N129" s="71"/>
      <c r="O129" s="71"/>
      <c r="P129" s="71"/>
      <c r="Q129" s="71"/>
      <c r="R129" s="2">
        <f>H129/15</f>
        <v>0</v>
      </c>
      <c r="S129" s="75" t="str">
        <f t="shared" si="14"/>
        <v>20/21</v>
      </c>
      <c r="T129" s="2" t="str">
        <f t="shared" si="15"/>
        <v>2060</v>
      </c>
      <c r="U129" s="76">
        <v>7006</v>
      </c>
      <c r="V129" s="76"/>
      <c r="Y129" s="76">
        <f>O129</f>
        <v>0</v>
      </c>
      <c r="Z129" s="77" t="s">
        <v>71</v>
      </c>
    </row>
    <row r="130" spans="1:37" s="2" customFormat="1" ht="16.5" customHeight="1">
      <c r="A130" s="70" t="s">
        <v>72</v>
      </c>
      <c r="B130" s="71"/>
      <c r="C130" s="71"/>
      <c r="D130" s="78"/>
      <c r="E130" s="71"/>
      <c r="F130" s="71"/>
      <c r="G130" s="78"/>
      <c r="H130" s="73"/>
      <c r="J130" s="74">
        <f>B130*E130+C130*F130</f>
        <v>0</v>
      </c>
      <c r="K130" s="70" t="s">
        <v>72</v>
      </c>
      <c r="L130" s="71"/>
      <c r="M130" s="71"/>
      <c r="N130" s="79"/>
      <c r="O130" s="80"/>
      <c r="P130" s="81"/>
      <c r="Q130" s="81"/>
      <c r="R130" s="2">
        <f>H130/15</f>
        <v>0</v>
      </c>
      <c r="S130" s="75" t="str">
        <f t="shared" si="14"/>
        <v>20/21</v>
      </c>
      <c r="T130" s="2" t="str">
        <f t="shared" si="15"/>
        <v>2060</v>
      </c>
      <c r="U130" s="76">
        <v>7007</v>
      </c>
      <c r="V130" s="76"/>
      <c r="Y130" s="76">
        <f>P129</f>
        <v>0</v>
      </c>
      <c r="Z130" s="77" t="s">
        <v>73</v>
      </c>
    </row>
    <row r="131" spans="1:37" ht="18" customHeight="1">
      <c r="A131" s="67" t="s">
        <v>74</v>
      </c>
      <c r="B131" s="82">
        <f>IF(B123="","",(B130+B129)/B123)</f>
        <v>0</v>
      </c>
      <c r="C131" s="82">
        <f>IF(B123="","",(C130+C129)/B123)</f>
        <v>0</v>
      </c>
      <c r="D131" s="82">
        <f>IF(B123="","",(D130+D129)/B123)</f>
        <v>0</v>
      </c>
      <c r="E131" s="133" t="str">
        <f>IF(B123="","",IF(B131+C131+D131&gt;Bovinos!$AE$5," -&gt; índices (somados) acima da média",IF(B131+C131+D131&lt;Bovinos!$AE$4," -&gt; índices (somados) abaixo da média","")))</f>
        <v xml:space="preserve"> -&gt; índices (somados) abaixo da média</v>
      </c>
      <c r="F131" s="133"/>
      <c r="G131" s="133"/>
      <c r="H131" s="133"/>
      <c r="J131" s="83"/>
      <c r="K131" s="37" t="s">
        <v>74</v>
      </c>
      <c r="L131" s="84"/>
      <c r="M131" s="84"/>
      <c r="N131" s="84"/>
      <c r="O131" s="134" t="str">
        <f>IF(AND(L131="-",M131="-",N131="-"),"",IF(L131&gt;Bovinos!$AB$5," -&gt; índice(s) fora da faixa média",IF(L131&lt;Bovinos!$AB$4," -&gt; índice(s) fora da faixa média",IF(M131&gt;Bovinos!$AC$5," -&gt; índice(s) fora da faixa média",IF(M131&lt;Bovinos!$AC$4," -&gt; índice(s) fora da faixa média",IF(N131&gt;Bovinos!$AD$5," -&gt; índice(s) fora da faixa média",IF(N131&lt;Bovinos!$AD$4," -&gt; índice(s) fora da faixa média","")))))))</f>
        <v xml:space="preserve"> -&gt; índice(s) fora da faixa média</v>
      </c>
      <c r="P131" s="134"/>
      <c r="Q131" s="134"/>
      <c r="S131" s="32" t="str">
        <f t="shared" si="14"/>
        <v>20/21</v>
      </c>
      <c r="T131" s="1" t="str">
        <f t="shared" si="15"/>
        <v>2060</v>
      </c>
      <c r="U131" s="53">
        <v>7008</v>
      </c>
      <c r="V131" s="53"/>
      <c r="Y131" s="40">
        <f>Q129</f>
        <v>0</v>
      </c>
      <c r="Z131" s="54" t="s">
        <v>75</v>
      </c>
    </row>
    <row r="132" spans="1:37" s="85" customFormat="1" ht="23.25" customHeight="1">
      <c r="A132" s="85" t="s">
        <v>76</v>
      </c>
      <c r="B132" s="86">
        <f>B129+C129+D129</f>
        <v>0</v>
      </c>
      <c r="C132" s="86">
        <f>B130+C130</f>
        <v>0</v>
      </c>
      <c r="D132" s="86">
        <f>B132+C132</f>
        <v>0</v>
      </c>
      <c r="E132" s="87">
        <f>D132/B123</f>
        <v>0</v>
      </c>
      <c r="F132" s="88" t="e">
        <f>(C129+C130)/E124</f>
        <v>#DIV/0!</v>
      </c>
      <c r="S132" s="89" t="str">
        <f t="shared" si="14"/>
        <v>20/21</v>
      </c>
      <c r="T132" s="85" t="str">
        <f t="shared" si="15"/>
        <v>2060</v>
      </c>
      <c r="U132" s="90" t="s">
        <v>77</v>
      </c>
      <c r="V132" s="90"/>
      <c r="Y132" s="90">
        <f>+N129</f>
        <v>0</v>
      </c>
      <c r="Z132" s="91" t="s">
        <v>78</v>
      </c>
    </row>
    <row r="133" spans="1:37" s="92" customFormat="1" ht="18.2" customHeight="1">
      <c r="A133" s="92" t="s">
        <v>79</v>
      </c>
      <c r="B133" s="93" t="e">
        <f>SUM(B129:B130)/D132</f>
        <v>#DIV/0!</v>
      </c>
      <c r="C133" s="93" t="e">
        <f>SUM(C129:C130)/D132</f>
        <v>#DIV/0!</v>
      </c>
      <c r="D133" s="94">
        <f>C129+C130</f>
        <v>0</v>
      </c>
      <c r="E133" s="95" t="e">
        <f>F133/D132*100</f>
        <v>#DIV/0!</v>
      </c>
      <c r="F133" s="96">
        <f>339+25</f>
        <v>364</v>
      </c>
      <c r="G133" s="92" t="s">
        <v>80</v>
      </c>
      <c r="L133" s="97"/>
      <c r="S133" s="98" t="str">
        <f t="shared" si="14"/>
        <v>20/21</v>
      </c>
      <c r="T133" s="92" t="str">
        <f t="shared" si="15"/>
        <v>2060</v>
      </c>
      <c r="U133" s="99" t="s">
        <v>81</v>
      </c>
      <c r="V133" s="99">
        <f>+H123</f>
        <v>0</v>
      </c>
      <c r="Y133" s="99"/>
      <c r="Z133" s="100" t="s">
        <v>82</v>
      </c>
    </row>
    <row r="134" spans="1:37" ht="18.2" customHeight="1">
      <c r="S134" s="32"/>
      <c r="U134" s="40"/>
      <c r="V134" s="40"/>
      <c r="Y134" s="40"/>
      <c r="Z134" s="42"/>
    </row>
    <row r="135" spans="1:37" s="22" customFormat="1" ht="18" customHeight="1">
      <c r="A135" s="20" t="s">
        <v>20</v>
      </c>
      <c r="B135" s="20" t="s">
        <v>97</v>
      </c>
      <c r="C135" s="21" t="s">
        <v>98</v>
      </c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S135" s="23" t="str">
        <f t="shared" ref="S135:S149" si="16">+$T$5</f>
        <v>20/21</v>
      </c>
      <c r="T135" s="22" t="str">
        <f>+B135</f>
        <v>2175</v>
      </c>
      <c r="U135" s="24">
        <v>7014</v>
      </c>
      <c r="V135" s="24"/>
      <c r="W135" s="22">
        <f>K139</f>
        <v>6300</v>
      </c>
      <c r="Z135" s="25" t="s">
        <v>24</v>
      </c>
      <c r="AK135" s="26"/>
    </row>
    <row r="136" spans="1:37" s="1" customFormat="1" ht="6" customHeight="1">
      <c r="A136" s="101"/>
      <c r="B136" s="28"/>
      <c r="C136" s="29"/>
      <c r="D136" s="29"/>
      <c r="E136" s="29"/>
      <c r="F136" s="29"/>
      <c r="I136" s="30"/>
      <c r="M136" s="31"/>
      <c r="S136" s="32" t="str">
        <f t="shared" si="16"/>
        <v>20/21</v>
      </c>
      <c r="T136" s="1" t="str">
        <f t="shared" ref="T136:T149" si="17">+T135</f>
        <v>2175</v>
      </c>
      <c r="W136" s="13">
        <f>N139</f>
        <v>0</v>
      </c>
      <c r="Z136" s="1" t="s">
        <v>25</v>
      </c>
    </row>
    <row r="137" spans="1:37" ht="10.5" customHeight="1">
      <c r="A137" s="146"/>
      <c r="B137" s="139" t="s">
        <v>29</v>
      </c>
      <c r="C137" s="147" t="s">
        <v>30</v>
      </c>
      <c r="D137" s="147"/>
      <c r="E137" s="147" t="s">
        <v>31</v>
      </c>
      <c r="F137" s="147"/>
      <c r="G137" s="38"/>
      <c r="H137" s="147" t="s">
        <v>32</v>
      </c>
      <c r="J137" s="148"/>
      <c r="K137" s="147" t="s">
        <v>33</v>
      </c>
      <c r="L137" s="149"/>
      <c r="M137" s="150"/>
      <c r="N137" s="7"/>
      <c r="O137" s="39"/>
      <c r="Q137" s="143" t="s">
        <v>34</v>
      </c>
      <c r="S137" s="32" t="str">
        <f t="shared" si="16"/>
        <v>20/21</v>
      </c>
      <c r="T137" s="1" t="str">
        <f t="shared" si="17"/>
        <v>2175</v>
      </c>
      <c r="U137" s="40" t="s">
        <v>35</v>
      </c>
      <c r="V137" s="40"/>
      <c r="W137" s="40">
        <f>+B139</f>
        <v>27190</v>
      </c>
      <c r="X137" s="41">
        <f>+H145</f>
        <v>0</v>
      </c>
      <c r="Y137" s="40">
        <f>B145+C145</f>
        <v>0</v>
      </c>
      <c r="Z137" s="42" t="s">
        <v>36</v>
      </c>
      <c r="AB137" s="22"/>
      <c r="AC137" s="22"/>
      <c r="AD137" s="22"/>
      <c r="AE137" s="22"/>
      <c r="AF137" s="22"/>
    </row>
    <row r="138" spans="1:37" ht="12" customHeight="1">
      <c r="A138" s="146"/>
      <c r="B138" s="139"/>
      <c r="C138" s="43" t="s">
        <v>38</v>
      </c>
      <c r="D138" s="43" t="s">
        <v>39</v>
      </c>
      <c r="E138" s="43" t="s">
        <v>38</v>
      </c>
      <c r="F138" s="43" t="s">
        <v>39</v>
      </c>
      <c r="G138" s="38"/>
      <c r="H138" s="147"/>
      <c r="J138" s="148"/>
      <c r="K138" s="147"/>
      <c r="L138" s="149"/>
      <c r="M138" s="150"/>
      <c r="N138" s="7"/>
      <c r="O138" s="39"/>
      <c r="Q138" s="143"/>
      <c r="S138" s="32" t="str">
        <f t="shared" si="16"/>
        <v>20/21</v>
      </c>
      <c r="T138" s="1" t="str">
        <f t="shared" si="17"/>
        <v>2175</v>
      </c>
      <c r="U138" s="40" t="s">
        <v>40</v>
      </c>
      <c r="V138" s="40"/>
      <c r="W138" s="44"/>
      <c r="X138" s="41">
        <f>H146</f>
        <v>0</v>
      </c>
      <c r="Y138" s="40">
        <f>B146+C146</f>
        <v>0</v>
      </c>
      <c r="Z138" s="42" t="s">
        <v>41</v>
      </c>
    </row>
    <row r="139" spans="1:37" ht="16.5" customHeight="1">
      <c r="A139" s="139" t="s">
        <v>42</v>
      </c>
      <c r="B139" s="140">
        <v>27190</v>
      </c>
      <c r="C139" s="45"/>
      <c r="D139" s="45"/>
      <c r="E139" s="45"/>
      <c r="F139" s="45"/>
      <c r="G139" s="46" t="str">
        <f>IF(SUM(C140:F140)=0,"",IF(SUM(C139:F139)&lt;1,"&lt;100%",IF(SUM(C139:F139)&gt;1,"&gt;100%","OK")))</f>
        <v/>
      </c>
      <c r="H139" s="47"/>
      <c r="I139" s="2"/>
      <c r="J139" s="48"/>
      <c r="K139" s="49">
        <f>'Leite_-_Produção'!U17</f>
        <v>6300</v>
      </c>
      <c r="L139" s="50"/>
      <c r="M139" s="141"/>
      <c r="N139" s="7"/>
      <c r="O139" s="51"/>
      <c r="Q139" s="52" t="str">
        <f>IF(OR(H139="",B139=""),"-",(D140+F140)/H139)</f>
        <v>-</v>
      </c>
      <c r="S139" s="32" t="str">
        <f t="shared" si="16"/>
        <v>20/21</v>
      </c>
      <c r="T139" s="1" t="str">
        <f t="shared" si="17"/>
        <v>2175</v>
      </c>
      <c r="U139" s="53">
        <v>7590</v>
      </c>
      <c r="V139" s="53"/>
      <c r="W139" s="44"/>
      <c r="X139" s="3">
        <f>+G145</f>
        <v>0</v>
      </c>
      <c r="Y139" s="40">
        <f>D145</f>
        <v>0</v>
      </c>
      <c r="Z139" s="54" t="s">
        <v>43</v>
      </c>
      <c r="AJ139" s="55"/>
    </row>
    <row r="140" spans="1:37" ht="16.5" customHeight="1">
      <c r="A140" s="139"/>
      <c r="B140" s="139"/>
      <c r="C140" s="56">
        <f>+C139*B139</f>
        <v>0</v>
      </c>
      <c r="D140" s="56">
        <f>+D139*B139</f>
        <v>0</v>
      </c>
      <c r="E140" s="56">
        <f>+E139*B139</f>
        <v>0</v>
      </c>
      <c r="F140" s="56">
        <f>+F139*B139</f>
        <v>0</v>
      </c>
      <c r="G140" s="38"/>
      <c r="H140" s="57"/>
      <c r="I140" s="2"/>
      <c r="J140" s="58"/>
      <c r="K140" s="57"/>
      <c r="L140" s="58"/>
      <c r="M140" s="141"/>
      <c r="N140" s="59"/>
      <c r="O140" s="60"/>
      <c r="P140" s="60" t="s">
        <v>99</v>
      </c>
      <c r="Q140" s="61"/>
      <c r="S140" s="32" t="str">
        <f t="shared" si="16"/>
        <v>20/21</v>
      </c>
      <c r="T140" s="1" t="str">
        <f t="shared" si="17"/>
        <v>2175</v>
      </c>
      <c r="U140" s="40" t="s">
        <v>44</v>
      </c>
      <c r="V140" s="40"/>
      <c r="W140" s="44"/>
      <c r="X140" s="44"/>
      <c r="Y140" s="40">
        <f>L145</f>
        <v>0</v>
      </c>
      <c r="Z140" s="42" t="s">
        <v>45</v>
      </c>
    </row>
    <row r="141" spans="1:37" ht="10.5" customHeight="1">
      <c r="A141" s="62"/>
      <c r="B141" s="63"/>
      <c r="C141" s="64"/>
      <c r="D141" s="64"/>
      <c r="E141" s="64"/>
      <c r="F141" s="64"/>
      <c r="G141" s="65"/>
      <c r="H141" s="60"/>
      <c r="I141" s="30"/>
      <c r="J141" s="60"/>
      <c r="K141" s="60"/>
      <c r="L141" s="60"/>
      <c r="M141" s="66"/>
      <c r="N141" s="60"/>
      <c r="O141" s="60"/>
      <c r="P141" s="60"/>
      <c r="Q141" s="60"/>
      <c r="S141" s="32" t="str">
        <f t="shared" si="16"/>
        <v>20/21</v>
      </c>
      <c r="T141" s="1" t="str">
        <f t="shared" si="17"/>
        <v>2175</v>
      </c>
      <c r="U141" s="40" t="s">
        <v>46</v>
      </c>
      <c r="V141" s="40"/>
      <c r="W141" s="44"/>
      <c r="X141" s="44"/>
      <c r="Y141" s="40">
        <f>L146</f>
        <v>0</v>
      </c>
      <c r="Z141" s="42" t="s">
        <v>47</v>
      </c>
    </row>
    <row r="142" spans="1:37" ht="16.5" customHeight="1">
      <c r="A142" s="137" t="s">
        <v>48</v>
      </c>
      <c r="B142" s="142" t="s">
        <v>49</v>
      </c>
      <c r="C142" s="142"/>
      <c r="D142" s="142"/>
      <c r="E142" s="142" t="s">
        <v>50</v>
      </c>
      <c r="F142" s="142"/>
      <c r="G142" s="142"/>
      <c r="H142" s="143" t="s">
        <v>51</v>
      </c>
      <c r="J142" s="144"/>
      <c r="K142" s="145" t="s">
        <v>48</v>
      </c>
      <c r="L142" s="142" t="s">
        <v>52</v>
      </c>
      <c r="M142" s="142"/>
      <c r="N142" s="142"/>
      <c r="O142" s="135" t="s">
        <v>53</v>
      </c>
      <c r="P142" s="135"/>
      <c r="Q142" s="135"/>
      <c r="S142" s="32" t="str">
        <f t="shared" si="16"/>
        <v>20/21</v>
      </c>
      <c r="T142" s="1" t="str">
        <f t="shared" si="17"/>
        <v>2175</v>
      </c>
      <c r="U142" s="40" t="s">
        <v>54</v>
      </c>
      <c r="V142" s="40"/>
      <c r="W142" s="44"/>
      <c r="X142" s="44"/>
      <c r="Y142" s="40">
        <f>M145</f>
        <v>0</v>
      </c>
      <c r="Z142" s="42" t="s">
        <v>55</v>
      </c>
      <c r="AJ142" s="55"/>
    </row>
    <row r="143" spans="1:37" ht="16.5" customHeight="1">
      <c r="A143" s="137"/>
      <c r="B143" s="136" t="s">
        <v>56</v>
      </c>
      <c r="C143" s="136" t="s">
        <v>57</v>
      </c>
      <c r="D143" s="136" t="s">
        <v>58</v>
      </c>
      <c r="E143" s="136" t="s">
        <v>56</v>
      </c>
      <c r="F143" s="136" t="s">
        <v>57</v>
      </c>
      <c r="G143" s="136" t="s">
        <v>58</v>
      </c>
      <c r="H143" s="143"/>
      <c r="J143" s="144"/>
      <c r="K143" s="145"/>
      <c r="L143" s="138" t="s">
        <v>59</v>
      </c>
      <c r="M143" s="138" t="s">
        <v>60</v>
      </c>
      <c r="N143" s="138" t="s">
        <v>61</v>
      </c>
      <c r="O143" s="135"/>
      <c r="P143" s="135"/>
      <c r="Q143" s="135"/>
      <c r="S143" s="32" t="str">
        <f t="shared" si="16"/>
        <v>20/21</v>
      </c>
      <c r="T143" s="1" t="str">
        <f t="shared" si="17"/>
        <v>2175</v>
      </c>
      <c r="U143" s="40" t="s">
        <v>62</v>
      </c>
      <c r="V143" s="40"/>
      <c r="Y143" s="40">
        <f>+M146</f>
        <v>0</v>
      </c>
      <c r="Z143" s="42" t="s">
        <v>63</v>
      </c>
    </row>
    <row r="144" spans="1:37" ht="18" customHeight="1">
      <c r="A144" s="137"/>
      <c r="B144" s="137"/>
      <c r="C144" s="137"/>
      <c r="D144" s="137"/>
      <c r="E144" s="137"/>
      <c r="F144" s="137"/>
      <c r="G144" s="137"/>
      <c r="H144" s="143"/>
      <c r="J144" s="144"/>
      <c r="K144" s="145"/>
      <c r="L144" s="138"/>
      <c r="M144" s="138"/>
      <c r="N144" s="138"/>
      <c r="O144" s="68" t="s">
        <v>64</v>
      </c>
      <c r="P144" s="68" t="s">
        <v>65</v>
      </c>
      <c r="Q144" s="68" t="s">
        <v>66</v>
      </c>
      <c r="R144" s="69" t="s">
        <v>67</v>
      </c>
      <c r="S144" s="32" t="str">
        <f t="shared" si="16"/>
        <v>20/21</v>
      </c>
      <c r="T144" s="1" t="str">
        <f t="shared" si="17"/>
        <v>2175</v>
      </c>
      <c r="U144" s="40" t="s">
        <v>68</v>
      </c>
      <c r="V144" s="40"/>
      <c r="Y144" s="40">
        <f>+N146</f>
        <v>0</v>
      </c>
      <c r="Z144" s="42" t="s">
        <v>69</v>
      </c>
      <c r="AI144" s="36"/>
    </row>
    <row r="145" spans="1:37" s="2" customFormat="1" ht="16.5" customHeight="1">
      <c r="A145" s="70" t="s">
        <v>70</v>
      </c>
      <c r="B145" s="71"/>
      <c r="C145" s="71"/>
      <c r="D145" s="72"/>
      <c r="E145" s="71"/>
      <c r="F145" s="71"/>
      <c r="G145" s="72"/>
      <c r="H145" s="73"/>
      <c r="J145" s="74">
        <f>B145*E145+C145*F145</f>
        <v>0</v>
      </c>
      <c r="K145" s="70" t="s">
        <v>70</v>
      </c>
      <c r="L145" s="71"/>
      <c r="M145" s="71"/>
      <c r="N145" s="71"/>
      <c r="O145" s="71"/>
      <c r="P145" s="71"/>
      <c r="Q145" s="71"/>
      <c r="R145" s="2">
        <f>H145/15</f>
        <v>0</v>
      </c>
      <c r="S145" s="75" t="str">
        <f t="shared" si="16"/>
        <v>20/21</v>
      </c>
      <c r="T145" s="2" t="str">
        <f t="shared" si="17"/>
        <v>2175</v>
      </c>
      <c r="U145" s="76">
        <v>7006</v>
      </c>
      <c r="V145" s="76"/>
      <c r="Y145" s="76">
        <f>O145</f>
        <v>0</v>
      </c>
      <c r="Z145" s="77" t="s">
        <v>71</v>
      </c>
    </row>
    <row r="146" spans="1:37" s="2" customFormat="1" ht="16.5" customHeight="1">
      <c r="A146" s="70" t="s">
        <v>72</v>
      </c>
      <c r="B146" s="71"/>
      <c r="C146" s="71"/>
      <c r="D146" s="78"/>
      <c r="E146" s="71"/>
      <c r="F146" s="71"/>
      <c r="G146" s="78"/>
      <c r="H146" s="73"/>
      <c r="J146" s="74">
        <f>B146*E146+C146*F146</f>
        <v>0</v>
      </c>
      <c r="K146" s="70" t="s">
        <v>72</v>
      </c>
      <c r="L146" s="71"/>
      <c r="M146" s="71"/>
      <c r="N146" s="79"/>
      <c r="O146" s="80"/>
      <c r="P146" s="81"/>
      <c r="Q146" s="81"/>
      <c r="R146" s="2">
        <f>H146/15</f>
        <v>0</v>
      </c>
      <c r="S146" s="75" t="str">
        <f t="shared" si="16"/>
        <v>20/21</v>
      </c>
      <c r="T146" s="2" t="str">
        <f t="shared" si="17"/>
        <v>2175</v>
      </c>
      <c r="U146" s="76">
        <v>7007</v>
      </c>
      <c r="V146" s="76"/>
      <c r="Y146" s="76">
        <f>P145</f>
        <v>0</v>
      </c>
      <c r="Z146" s="77" t="s">
        <v>73</v>
      </c>
    </row>
    <row r="147" spans="1:37" ht="18" customHeight="1">
      <c r="A147" s="67" t="s">
        <v>74</v>
      </c>
      <c r="B147" s="82">
        <f>IF(B139="","",(B146+B145)/B139)</f>
        <v>0</v>
      </c>
      <c r="C147" s="82">
        <f>IF(B139="","",(C146+C145)/B139)</f>
        <v>0</v>
      </c>
      <c r="D147" s="82">
        <f>IF(B139="","",(D146+D145)/B139)</f>
        <v>0</v>
      </c>
      <c r="E147" s="133" t="str">
        <f>IF(B139="","",IF(B147+C147+D147&gt;Bovinos!$AE$5," -&gt; índices (somados) acima da média",IF(B147+C147+D147&lt;Bovinos!$AE$4," -&gt; índices (somados) abaixo da média","")))</f>
        <v xml:space="preserve"> -&gt; índices (somados) abaixo da média</v>
      </c>
      <c r="F147" s="133"/>
      <c r="G147" s="133"/>
      <c r="H147" s="133"/>
      <c r="J147" s="83"/>
      <c r="K147" s="37" t="s">
        <v>74</v>
      </c>
      <c r="L147" s="84"/>
      <c r="M147" s="84"/>
      <c r="N147" s="84"/>
      <c r="O147" s="134" t="str">
        <f>IF(AND(L147="-",M147="-",N147="-"),"",IF(L147&gt;Bovinos!$AB$5," -&gt; índice(s) fora da faixa média",IF(L147&lt;Bovinos!$AB$4," -&gt; índice(s) fora da faixa média",IF(M147&gt;Bovinos!$AC$5," -&gt; índice(s) fora da faixa média",IF(M147&lt;Bovinos!$AC$4," -&gt; índice(s) fora da faixa média",IF(N147&gt;Bovinos!$AD$5," -&gt; índice(s) fora da faixa média",IF(N147&lt;Bovinos!$AD$4," -&gt; índice(s) fora da faixa média","")))))))</f>
        <v xml:space="preserve"> -&gt; índice(s) fora da faixa média</v>
      </c>
      <c r="P147" s="134"/>
      <c r="Q147" s="134"/>
      <c r="S147" s="32" t="str">
        <f t="shared" si="16"/>
        <v>20/21</v>
      </c>
      <c r="T147" s="1" t="str">
        <f t="shared" si="17"/>
        <v>2175</v>
      </c>
      <c r="U147" s="53">
        <v>7008</v>
      </c>
      <c r="V147" s="53"/>
      <c r="Y147" s="40">
        <f>Q145</f>
        <v>0</v>
      </c>
      <c r="Z147" s="54" t="s">
        <v>75</v>
      </c>
    </row>
    <row r="148" spans="1:37" s="85" customFormat="1" ht="23.25" customHeight="1">
      <c r="A148" s="85" t="s">
        <v>76</v>
      </c>
      <c r="B148" s="86">
        <f>B145+C145+D145</f>
        <v>0</v>
      </c>
      <c r="C148" s="86">
        <f>B146+C146</f>
        <v>0</v>
      </c>
      <c r="D148" s="86">
        <f>B148+C148</f>
        <v>0</v>
      </c>
      <c r="E148" s="87">
        <f>D148/B139</f>
        <v>0</v>
      </c>
      <c r="F148" s="88" t="e">
        <f>(C145+C146)/E140</f>
        <v>#DIV/0!</v>
      </c>
      <c r="S148" s="89" t="str">
        <f t="shared" si="16"/>
        <v>20/21</v>
      </c>
      <c r="T148" s="85" t="str">
        <f t="shared" si="17"/>
        <v>2175</v>
      </c>
      <c r="U148" s="90" t="s">
        <v>77</v>
      </c>
      <c r="V148" s="90"/>
      <c r="Y148" s="90">
        <f>+N145</f>
        <v>0</v>
      </c>
      <c r="Z148" s="91" t="s">
        <v>78</v>
      </c>
    </row>
    <row r="149" spans="1:37" s="92" customFormat="1" ht="18.2" customHeight="1">
      <c r="A149" s="92" t="s">
        <v>79</v>
      </c>
      <c r="B149" s="93" t="e">
        <f>SUM(B145:B146)/D148</f>
        <v>#DIV/0!</v>
      </c>
      <c r="C149" s="93" t="e">
        <f>SUM(C145:C146)/D148</f>
        <v>#DIV/0!</v>
      </c>
      <c r="D149" s="94">
        <f>C145+C146</f>
        <v>0</v>
      </c>
      <c r="E149" s="95" t="e">
        <f>F149/D148*100</f>
        <v>#DIV/0!</v>
      </c>
      <c r="F149" s="96">
        <f>101+74</f>
        <v>175</v>
      </c>
      <c r="G149" s="92" t="s">
        <v>80</v>
      </c>
      <c r="L149" s="97"/>
      <c r="S149" s="98" t="str">
        <f t="shared" si="16"/>
        <v>20/21</v>
      </c>
      <c r="T149" s="92" t="str">
        <f t="shared" si="17"/>
        <v>2175</v>
      </c>
      <c r="U149" s="99" t="s">
        <v>81</v>
      </c>
      <c r="V149" s="99">
        <f>+H139</f>
        <v>0</v>
      </c>
      <c r="Y149" s="99"/>
      <c r="Z149" s="100" t="s">
        <v>82</v>
      </c>
    </row>
    <row r="150" spans="1:37" ht="18.2" customHeight="1">
      <c r="S150" s="32"/>
      <c r="U150" s="40"/>
      <c r="V150" s="40"/>
      <c r="Y150" s="40"/>
      <c r="Z150" s="42"/>
    </row>
    <row r="151" spans="1:37" s="22" customFormat="1" ht="18" customHeight="1">
      <c r="A151" s="20" t="s">
        <v>20</v>
      </c>
      <c r="B151" s="20" t="s">
        <v>100</v>
      </c>
      <c r="C151" s="21" t="s">
        <v>101</v>
      </c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S151" s="23" t="str">
        <f t="shared" ref="S151:S165" si="18">+$T$5</f>
        <v>20/21</v>
      </c>
      <c r="T151" s="22" t="str">
        <f>+B151</f>
        <v>2796</v>
      </c>
      <c r="U151" s="24">
        <v>7014</v>
      </c>
      <c r="V151" s="24"/>
      <c r="W151" s="22">
        <f>K155</f>
        <v>21400</v>
      </c>
      <c r="Z151" s="25" t="s">
        <v>24</v>
      </c>
      <c r="AK151" s="26"/>
    </row>
    <row r="152" spans="1:37" s="1" customFormat="1" ht="6" customHeight="1">
      <c r="A152" s="101"/>
      <c r="B152" s="28"/>
      <c r="C152" s="29"/>
      <c r="D152" s="29"/>
      <c r="E152" s="29"/>
      <c r="F152" s="29"/>
      <c r="I152" s="30"/>
      <c r="M152" s="31"/>
      <c r="S152" s="32" t="str">
        <f t="shared" si="18"/>
        <v>20/21</v>
      </c>
      <c r="T152" s="1" t="str">
        <f t="shared" ref="T152:T165" si="19">+T151</f>
        <v>2796</v>
      </c>
      <c r="W152" s="13">
        <f>N155</f>
        <v>0</v>
      </c>
      <c r="Z152" s="1" t="s">
        <v>25</v>
      </c>
    </row>
    <row r="153" spans="1:37" ht="10.5" customHeight="1">
      <c r="A153" s="146"/>
      <c r="B153" s="139" t="s">
        <v>29</v>
      </c>
      <c r="C153" s="147" t="s">
        <v>30</v>
      </c>
      <c r="D153" s="147"/>
      <c r="E153" s="147" t="s">
        <v>31</v>
      </c>
      <c r="F153" s="147"/>
      <c r="G153" s="38"/>
      <c r="H153" s="147" t="s">
        <v>32</v>
      </c>
      <c r="J153" s="148"/>
      <c r="K153" s="147" t="s">
        <v>33</v>
      </c>
      <c r="L153" s="149"/>
      <c r="M153" s="150"/>
      <c r="N153" s="7"/>
      <c r="O153" s="39"/>
      <c r="Q153" s="143" t="s">
        <v>34</v>
      </c>
      <c r="S153" s="32" t="str">
        <f t="shared" si="18"/>
        <v>20/21</v>
      </c>
      <c r="T153" s="1" t="str">
        <f t="shared" si="19"/>
        <v>2796</v>
      </c>
      <c r="U153" s="40" t="s">
        <v>35</v>
      </c>
      <c r="V153" s="40"/>
      <c r="W153" s="40">
        <f>+B155</f>
        <v>39740</v>
      </c>
      <c r="X153" s="41">
        <f>+H161</f>
        <v>0</v>
      </c>
      <c r="Y153" s="40">
        <f>B161+C161</f>
        <v>0</v>
      </c>
      <c r="Z153" s="42" t="s">
        <v>36</v>
      </c>
      <c r="AB153" s="22"/>
      <c r="AC153" s="22"/>
      <c r="AD153" s="22"/>
      <c r="AE153" s="22"/>
      <c r="AF153" s="22"/>
    </row>
    <row r="154" spans="1:37" ht="12" customHeight="1">
      <c r="A154" s="146"/>
      <c r="B154" s="139"/>
      <c r="C154" s="43" t="s">
        <v>38</v>
      </c>
      <c r="D154" s="43" t="s">
        <v>39</v>
      </c>
      <c r="E154" s="43" t="s">
        <v>38</v>
      </c>
      <c r="F154" s="43" t="s">
        <v>39</v>
      </c>
      <c r="G154" s="38"/>
      <c r="H154" s="147"/>
      <c r="J154" s="148"/>
      <c r="K154" s="147"/>
      <c r="L154" s="149"/>
      <c r="M154" s="150"/>
      <c r="N154" s="7"/>
      <c r="O154" s="39"/>
      <c r="Q154" s="143"/>
      <c r="S154" s="32" t="str">
        <f t="shared" si="18"/>
        <v>20/21</v>
      </c>
      <c r="T154" s="1" t="str">
        <f t="shared" si="19"/>
        <v>2796</v>
      </c>
      <c r="U154" s="40" t="s">
        <v>40</v>
      </c>
      <c r="V154" s="40"/>
      <c r="W154" s="44"/>
      <c r="X154" s="41">
        <f>H162</f>
        <v>0</v>
      </c>
      <c r="Y154" s="40">
        <f>B162+C162</f>
        <v>0</v>
      </c>
      <c r="Z154" s="42" t="s">
        <v>41</v>
      </c>
    </row>
    <row r="155" spans="1:37" ht="16.5" customHeight="1">
      <c r="A155" s="139" t="s">
        <v>42</v>
      </c>
      <c r="B155" s="140">
        <v>39740</v>
      </c>
      <c r="C155" s="45"/>
      <c r="D155" s="45"/>
      <c r="E155" s="45"/>
      <c r="F155" s="45"/>
      <c r="G155" s="46" t="str">
        <f>IF(SUM(C156:F156)=0,"",IF(SUM(C155:F155)&lt;1,"&lt;100%",IF(SUM(C155:F155)&gt;1,"&gt;100%","OK")))</f>
        <v/>
      </c>
      <c r="H155" s="47"/>
      <c r="I155" s="2"/>
      <c r="J155" s="48"/>
      <c r="K155" s="49">
        <f>'Leite_-_Produção'!U18</f>
        <v>21400</v>
      </c>
      <c r="L155" s="50"/>
      <c r="M155" s="141"/>
      <c r="N155" s="7"/>
      <c r="O155" s="51"/>
      <c r="Q155" s="52" t="str">
        <f>IF(OR(H155="",B155=""),"-",(D156+F156)/H155)</f>
        <v>-</v>
      </c>
      <c r="S155" s="32" t="str">
        <f t="shared" si="18"/>
        <v>20/21</v>
      </c>
      <c r="T155" s="1" t="str">
        <f t="shared" si="19"/>
        <v>2796</v>
      </c>
      <c r="U155" s="53">
        <v>7590</v>
      </c>
      <c r="V155" s="53"/>
      <c r="W155" s="44"/>
      <c r="X155" s="3">
        <f>+G161</f>
        <v>0</v>
      </c>
      <c r="Y155" s="40">
        <f>D161</f>
        <v>0</v>
      </c>
      <c r="Z155" s="54" t="s">
        <v>43</v>
      </c>
      <c r="AJ155" s="55"/>
    </row>
    <row r="156" spans="1:37" ht="16.5" customHeight="1">
      <c r="A156" s="139"/>
      <c r="B156" s="139"/>
      <c r="C156" s="56">
        <f>+C155*B155</f>
        <v>0</v>
      </c>
      <c r="D156" s="56">
        <f>+D155*B155</f>
        <v>0</v>
      </c>
      <c r="E156" s="56">
        <f>+E155*B155</f>
        <v>0</v>
      </c>
      <c r="F156" s="56">
        <f>+F155*B155</f>
        <v>0</v>
      </c>
      <c r="G156" s="38"/>
      <c r="H156" s="57"/>
      <c r="I156" s="2"/>
      <c r="J156" s="58"/>
      <c r="K156" s="57"/>
      <c r="L156" s="58"/>
      <c r="M156" s="141"/>
      <c r="N156" s="59"/>
      <c r="O156" s="60"/>
      <c r="P156" s="60"/>
      <c r="Q156" s="61"/>
      <c r="S156" s="32" t="str">
        <f t="shared" si="18"/>
        <v>20/21</v>
      </c>
      <c r="T156" s="1" t="str">
        <f t="shared" si="19"/>
        <v>2796</v>
      </c>
      <c r="U156" s="40" t="s">
        <v>44</v>
      </c>
      <c r="V156" s="40"/>
      <c r="W156" s="44"/>
      <c r="X156" s="44"/>
      <c r="Y156" s="40">
        <f>L161</f>
        <v>0</v>
      </c>
      <c r="Z156" s="42" t="s">
        <v>45</v>
      </c>
    </row>
    <row r="157" spans="1:37" ht="10.5" customHeight="1">
      <c r="A157" s="62"/>
      <c r="B157" s="63"/>
      <c r="C157" s="64"/>
      <c r="D157" s="64"/>
      <c r="E157" s="64"/>
      <c r="F157" s="64"/>
      <c r="G157" s="65"/>
      <c r="H157" s="60"/>
      <c r="I157" s="30"/>
      <c r="J157" s="60"/>
      <c r="K157" s="60"/>
      <c r="L157" s="60"/>
      <c r="M157" s="66"/>
      <c r="N157" s="60"/>
      <c r="O157" s="60"/>
      <c r="P157" s="60"/>
      <c r="Q157" s="60"/>
      <c r="S157" s="32" t="str">
        <f t="shared" si="18"/>
        <v>20/21</v>
      </c>
      <c r="T157" s="1" t="str">
        <f t="shared" si="19"/>
        <v>2796</v>
      </c>
      <c r="U157" s="40" t="s">
        <v>46</v>
      </c>
      <c r="V157" s="40"/>
      <c r="W157" s="44"/>
      <c r="X157" s="44"/>
      <c r="Y157" s="40">
        <f>L162</f>
        <v>0</v>
      </c>
      <c r="Z157" s="42" t="s">
        <v>47</v>
      </c>
    </row>
    <row r="158" spans="1:37" ht="16.5" customHeight="1">
      <c r="A158" s="137" t="s">
        <v>48</v>
      </c>
      <c r="B158" s="142" t="s">
        <v>49</v>
      </c>
      <c r="C158" s="142"/>
      <c r="D158" s="142"/>
      <c r="E158" s="142" t="s">
        <v>50</v>
      </c>
      <c r="F158" s="142"/>
      <c r="G158" s="142"/>
      <c r="H158" s="143" t="s">
        <v>51</v>
      </c>
      <c r="J158" s="144"/>
      <c r="K158" s="145" t="s">
        <v>48</v>
      </c>
      <c r="L158" s="142" t="s">
        <v>52</v>
      </c>
      <c r="M158" s="142"/>
      <c r="N158" s="142"/>
      <c r="O158" s="135" t="s">
        <v>53</v>
      </c>
      <c r="P158" s="135"/>
      <c r="Q158" s="135"/>
      <c r="S158" s="32" t="str">
        <f t="shared" si="18"/>
        <v>20/21</v>
      </c>
      <c r="T158" s="1" t="str">
        <f t="shared" si="19"/>
        <v>2796</v>
      </c>
      <c r="U158" s="40" t="s">
        <v>54</v>
      </c>
      <c r="V158" s="40"/>
      <c r="W158" s="44"/>
      <c r="X158" s="44"/>
      <c r="Y158" s="40">
        <f>M161</f>
        <v>0</v>
      </c>
      <c r="Z158" s="42" t="s">
        <v>55</v>
      </c>
      <c r="AJ158" s="55"/>
    </row>
    <row r="159" spans="1:37" ht="16.5" customHeight="1">
      <c r="A159" s="137"/>
      <c r="B159" s="136" t="s">
        <v>56</v>
      </c>
      <c r="C159" s="136" t="s">
        <v>57</v>
      </c>
      <c r="D159" s="136" t="s">
        <v>58</v>
      </c>
      <c r="E159" s="136" t="s">
        <v>56</v>
      </c>
      <c r="F159" s="136" t="s">
        <v>57</v>
      </c>
      <c r="G159" s="136" t="s">
        <v>58</v>
      </c>
      <c r="H159" s="143"/>
      <c r="J159" s="144"/>
      <c r="K159" s="145"/>
      <c r="L159" s="138" t="s">
        <v>59</v>
      </c>
      <c r="M159" s="138" t="s">
        <v>60</v>
      </c>
      <c r="N159" s="138" t="s">
        <v>61</v>
      </c>
      <c r="O159" s="135"/>
      <c r="P159" s="135"/>
      <c r="Q159" s="135"/>
      <c r="S159" s="32" t="str">
        <f t="shared" si="18"/>
        <v>20/21</v>
      </c>
      <c r="T159" s="1" t="str">
        <f t="shared" si="19"/>
        <v>2796</v>
      </c>
      <c r="U159" s="40" t="s">
        <v>62</v>
      </c>
      <c r="V159" s="40"/>
      <c r="Y159" s="40">
        <f>+M162</f>
        <v>0</v>
      </c>
      <c r="Z159" s="42" t="s">
        <v>63</v>
      </c>
    </row>
    <row r="160" spans="1:37" ht="18" customHeight="1">
      <c r="A160" s="137"/>
      <c r="B160" s="137"/>
      <c r="C160" s="137"/>
      <c r="D160" s="137"/>
      <c r="E160" s="137"/>
      <c r="F160" s="137"/>
      <c r="G160" s="137"/>
      <c r="H160" s="143"/>
      <c r="J160" s="144"/>
      <c r="K160" s="145"/>
      <c r="L160" s="138"/>
      <c r="M160" s="138"/>
      <c r="N160" s="138"/>
      <c r="O160" s="68" t="s">
        <v>64</v>
      </c>
      <c r="P160" s="68" t="s">
        <v>65</v>
      </c>
      <c r="Q160" s="68" t="s">
        <v>66</v>
      </c>
      <c r="R160" s="69" t="s">
        <v>67</v>
      </c>
      <c r="S160" s="32" t="str">
        <f t="shared" si="18"/>
        <v>20/21</v>
      </c>
      <c r="T160" s="1" t="str">
        <f t="shared" si="19"/>
        <v>2796</v>
      </c>
      <c r="U160" s="40" t="s">
        <v>68</v>
      </c>
      <c r="V160" s="40"/>
      <c r="Y160" s="40">
        <f>+N162</f>
        <v>0</v>
      </c>
      <c r="Z160" s="42" t="s">
        <v>69</v>
      </c>
      <c r="AI160" s="36"/>
    </row>
    <row r="161" spans="1:37" s="2" customFormat="1" ht="16.5" customHeight="1">
      <c r="A161" s="70" t="s">
        <v>70</v>
      </c>
      <c r="B161" s="71"/>
      <c r="C161" s="71"/>
      <c r="D161" s="72"/>
      <c r="E161" s="71"/>
      <c r="F161" s="71"/>
      <c r="G161" s="72"/>
      <c r="H161" s="73"/>
      <c r="J161" s="74">
        <f>B161*E161+C161*F161</f>
        <v>0</v>
      </c>
      <c r="K161" s="70" t="s">
        <v>70</v>
      </c>
      <c r="L161" s="71"/>
      <c r="M161" s="71"/>
      <c r="N161" s="71"/>
      <c r="O161" s="71"/>
      <c r="P161" s="71"/>
      <c r="Q161" s="71"/>
      <c r="R161" s="2">
        <f>H161/15</f>
        <v>0</v>
      </c>
      <c r="S161" s="75" t="str">
        <f t="shared" si="18"/>
        <v>20/21</v>
      </c>
      <c r="T161" s="2" t="str">
        <f t="shared" si="19"/>
        <v>2796</v>
      </c>
      <c r="U161" s="76">
        <v>7006</v>
      </c>
      <c r="V161" s="76"/>
      <c r="Y161" s="76">
        <f>O161</f>
        <v>0</v>
      </c>
      <c r="Z161" s="77" t="s">
        <v>71</v>
      </c>
    </row>
    <row r="162" spans="1:37" s="2" customFormat="1" ht="16.5" customHeight="1">
      <c r="A162" s="70" t="s">
        <v>72</v>
      </c>
      <c r="B162" s="71"/>
      <c r="C162" s="71"/>
      <c r="D162" s="78"/>
      <c r="E162" s="71"/>
      <c r="F162" s="71"/>
      <c r="G162" s="78"/>
      <c r="H162" s="73"/>
      <c r="J162" s="74">
        <f>B162*E162+C162*F162</f>
        <v>0</v>
      </c>
      <c r="K162" s="70" t="s">
        <v>72</v>
      </c>
      <c r="L162" s="71"/>
      <c r="M162" s="71"/>
      <c r="N162" s="79"/>
      <c r="O162" s="80"/>
      <c r="P162" s="81"/>
      <c r="Q162" s="81"/>
      <c r="R162" s="2">
        <f>H162/15</f>
        <v>0</v>
      </c>
      <c r="S162" s="75" t="str">
        <f t="shared" si="18"/>
        <v>20/21</v>
      </c>
      <c r="T162" s="2" t="str">
        <f t="shared" si="19"/>
        <v>2796</v>
      </c>
      <c r="U162" s="76">
        <v>7007</v>
      </c>
      <c r="V162" s="76"/>
      <c r="Y162" s="76">
        <f>P161</f>
        <v>0</v>
      </c>
      <c r="Z162" s="77" t="s">
        <v>73</v>
      </c>
    </row>
    <row r="163" spans="1:37" ht="18" customHeight="1">
      <c r="A163" s="67" t="s">
        <v>74</v>
      </c>
      <c r="B163" s="82">
        <f>IF(B155="","",(B162+B161)/B155)</f>
        <v>0</v>
      </c>
      <c r="C163" s="82">
        <f>IF(B155="","",(C162+C161)/B155)</f>
        <v>0</v>
      </c>
      <c r="D163" s="82">
        <f>IF(B155="","",(D162+D161)/B155)</f>
        <v>0</v>
      </c>
      <c r="E163" s="133" t="str">
        <f>IF(B155="","",IF(B163+C163+D163&gt;Bovinos!$AE$5," -&gt; índices (somados) acima da média",IF(B163+C163+D163&lt;Bovinos!$AE$4," -&gt; índices (somados) abaixo da média","")))</f>
        <v xml:space="preserve"> -&gt; índices (somados) abaixo da média</v>
      </c>
      <c r="F163" s="133"/>
      <c r="G163" s="133"/>
      <c r="H163" s="133"/>
      <c r="J163" s="83"/>
      <c r="K163" s="37" t="s">
        <v>74</v>
      </c>
      <c r="L163" s="84">
        <f>IF(B155="","-",(L162+L161)/B155)</f>
        <v>0</v>
      </c>
      <c r="M163" s="84">
        <f>IF(B155="","-",(M162+M161)/B155)</f>
        <v>0</v>
      </c>
      <c r="N163" s="84">
        <f>IF(B155="","-",(N162+N161+P161+O161+Q161)/B155)</f>
        <v>0</v>
      </c>
      <c r="O163" s="134" t="str">
        <f>IF(AND(L163="-",M163="-",N163="-"),"",IF(L163&gt;Bovinos!$AB$5," -&gt; índice(s) fora da faixa média",IF(L163&lt;Bovinos!$AB$4," -&gt; índice(s) fora da faixa média",IF(M163&gt;Bovinos!$AC$5," -&gt; índice(s) fora da faixa média",IF(M163&lt;Bovinos!$AC$4," -&gt; índice(s) fora da faixa média",IF(N163&gt;Bovinos!$AD$5," -&gt; índice(s) fora da faixa média",IF(N163&lt;Bovinos!$AD$4," -&gt; índice(s) fora da faixa média","")))))))</f>
        <v xml:space="preserve"> -&gt; índice(s) fora da faixa média</v>
      </c>
      <c r="P163" s="134"/>
      <c r="Q163" s="134"/>
      <c r="S163" s="32" t="str">
        <f t="shared" si="18"/>
        <v>20/21</v>
      </c>
      <c r="T163" s="1" t="str">
        <f t="shared" si="19"/>
        <v>2796</v>
      </c>
      <c r="U163" s="53">
        <v>7008</v>
      </c>
      <c r="V163" s="53"/>
      <c r="Y163" s="40">
        <f>Q161</f>
        <v>0</v>
      </c>
      <c r="Z163" s="54" t="s">
        <v>75</v>
      </c>
    </row>
    <row r="164" spans="1:37" s="85" customFormat="1" ht="23.25" customHeight="1">
      <c r="A164" s="85" t="s">
        <v>76</v>
      </c>
      <c r="B164" s="86">
        <f>B161+C161+D161</f>
        <v>0</v>
      </c>
      <c r="C164" s="86">
        <f>B162+C162</f>
        <v>0</v>
      </c>
      <c r="D164" s="86">
        <f>B164+C164</f>
        <v>0</v>
      </c>
      <c r="E164" s="87">
        <f>D164/B155</f>
        <v>0</v>
      </c>
      <c r="F164" s="88" t="e">
        <f>(C161+C162)/E156</f>
        <v>#DIV/0!</v>
      </c>
      <c r="S164" s="89" t="str">
        <f t="shared" si="18"/>
        <v>20/21</v>
      </c>
      <c r="T164" s="85" t="str">
        <f t="shared" si="19"/>
        <v>2796</v>
      </c>
      <c r="U164" s="90" t="s">
        <v>77</v>
      </c>
      <c r="V164" s="90"/>
      <c r="Y164" s="90">
        <f>+N161</f>
        <v>0</v>
      </c>
      <c r="Z164" s="91" t="s">
        <v>78</v>
      </c>
    </row>
    <row r="165" spans="1:37" s="92" customFormat="1" ht="18.2" customHeight="1">
      <c r="A165" s="92" t="s">
        <v>79</v>
      </c>
      <c r="B165" s="93" t="e">
        <f>SUM(B161:B162)/D164</f>
        <v>#DIV/0!</v>
      </c>
      <c r="C165" s="93" t="e">
        <f>SUM(C161:C162)/D164</f>
        <v>#DIV/0!</v>
      </c>
      <c r="D165" s="94">
        <f>C161+C162</f>
        <v>0</v>
      </c>
      <c r="E165" s="95" t="e">
        <f>F165/D164*100</f>
        <v>#DIV/0!</v>
      </c>
      <c r="F165" s="96">
        <f>1118+609+21</f>
        <v>1748</v>
      </c>
      <c r="G165" s="92" t="s">
        <v>80</v>
      </c>
      <c r="L165" s="97"/>
      <c r="S165" s="98" t="str">
        <f t="shared" si="18"/>
        <v>20/21</v>
      </c>
      <c r="T165" s="92" t="str">
        <f t="shared" si="19"/>
        <v>2796</v>
      </c>
      <c r="U165" s="99" t="s">
        <v>81</v>
      </c>
      <c r="V165" s="99">
        <f>+H155</f>
        <v>0</v>
      </c>
      <c r="Y165" s="99"/>
      <c r="Z165" s="100" t="s">
        <v>82</v>
      </c>
    </row>
    <row r="166" spans="1:37" ht="18.2" customHeight="1">
      <c r="S166" s="32"/>
      <c r="U166" s="40"/>
      <c r="V166" s="40"/>
      <c r="Y166" s="40"/>
      <c r="Z166" s="42"/>
    </row>
    <row r="167" spans="1:37" s="22" customFormat="1" ht="18" customHeight="1">
      <c r="A167" s="20" t="s">
        <v>20</v>
      </c>
      <c r="B167" s="20"/>
      <c r="C167" s="21" t="s">
        <v>102</v>
      </c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S167" s="23" t="str">
        <f t="shared" ref="S167:S181" si="20">+$T$5</f>
        <v>20/21</v>
      </c>
      <c r="T167" s="22">
        <f>+B167</f>
        <v>0</v>
      </c>
      <c r="U167" s="24">
        <v>7014</v>
      </c>
      <c r="V167" s="24"/>
      <c r="W167" s="22">
        <f>K171</f>
        <v>147600</v>
      </c>
      <c r="Z167" s="25" t="s">
        <v>24</v>
      </c>
      <c r="AK167" s="26"/>
    </row>
    <row r="168" spans="1:37" s="1" customFormat="1" ht="6" customHeight="1">
      <c r="A168" s="101"/>
      <c r="B168" s="28"/>
      <c r="C168" s="29"/>
      <c r="D168" s="29"/>
      <c r="E168" s="29"/>
      <c r="F168" s="29"/>
      <c r="I168" s="30"/>
      <c r="M168" s="31"/>
      <c r="S168" s="32" t="str">
        <f t="shared" si="20"/>
        <v>20/21</v>
      </c>
      <c r="T168" s="1">
        <f t="shared" ref="T168:T181" si="21">+T167</f>
        <v>0</v>
      </c>
      <c r="W168" s="13">
        <f>N171</f>
        <v>0</v>
      </c>
      <c r="Z168" s="1" t="s">
        <v>25</v>
      </c>
    </row>
    <row r="169" spans="1:37" ht="10.5" customHeight="1">
      <c r="A169" s="146"/>
      <c r="B169" s="139" t="s">
        <v>29</v>
      </c>
      <c r="C169" s="147" t="s">
        <v>30</v>
      </c>
      <c r="D169" s="147"/>
      <c r="E169" s="147" t="s">
        <v>31</v>
      </c>
      <c r="F169" s="147"/>
      <c r="G169" s="38"/>
      <c r="H169" s="147" t="s">
        <v>32</v>
      </c>
      <c r="J169" s="148"/>
      <c r="K169" s="147" t="s">
        <v>33</v>
      </c>
      <c r="L169" s="149"/>
      <c r="M169" s="150"/>
      <c r="N169" s="7"/>
      <c r="O169" s="39"/>
      <c r="Q169" s="143" t="s">
        <v>34</v>
      </c>
      <c r="S169" s="32" t="str">
        <f t="shared" si="20"/>
        <v>20/21</v>
      </c>
      <c r="T169" s="1">
        <f t="shared" si="21"/>
        <v>0</v>
      </c>
      <c r="U169" s="40" t="s">
        <v>35</v>
      </c>
      <c r="V169" s="40"/>
      <c r="W169" s="40">
        <f>+B171</f>
        <v>413880</v>
      </c>
      <c r="X169" s="41">
        <f>+H177</f>
        <v>0</v>
      </c>
      <c r="Y169" s="40">
        <f>B177+C177</f>
        <v>0</v>
      </c>
      <c r="Z169" s="42" t="s">
        <v>36</v>
      </c>
      <c r="AB169" s="22"/>
      <c r="AC169" s="22"/>
      <c r="AD169" s="22"/>
      <c r="AE169" s="22"/>
      <c r="AF169" s="22"/>
    </row>
    <row r="170" spans="1:37" ht="12" customHeight="1">
      <c r="A170" s="146"/>
      <c r="B170" s="139"/>
      <c r="C170" s="43" t="s">
        <v>38</v>
      </c>
      <c r="D170" s="43" t="s">
        <v>39</v>
      </c>
      <c r="E170" s="43" t="s">
        <v>38</v>
      </c>
      <c r="F170" s="43" t="s">
        <v>39</v>
      </c>
      <c r="G170" s="38"/>
      <c r="H170" s="147"/>
      <c r="J170" s="148"/>
      <c r="K170" s="147"/>
      <c r="L170" s="149"/>
      <c r="M170" s="150"/>
      <c r="N170" s="7"/>
      <c r="O170" s="39"/>
      <c r="Q170" s="143"/>
      <c r="S170" s="32" t="str">
        <f t="shared" si="20"/>
        <v>20/21</v>
      </c>
      <c r="T170" s="1">
        <f t="shared" si="21"/>
        <v>0</v>
      </c>
      <c r="U170" s="40" t="s">
        <v>40</v>
      </c>
      <c r="V170" s="40"/>
      <c r="W170" s="44"/>
      <c r="X170" s="41">
        <f>H178</f>
        <v>0</v>
      </c>
      <c r="Y170" s="40">
        <f>B178+C178</f>
        <v>0</v>
      </c>
      <c r="Z170" s="42" t="s">
        <v>41</v>
      </c>
    </row>
    <row r="171" spans="1:37" ht="16.5" customHeight="1">
      <c r="A171" s="139" t="s">
        <v>42</v>
      </c>
      <c r="B171" s="140">
        <f>B11+B27+B43+B59+B75+B91+B107+B123+B139+B155</f>
        <v>413880</v>
      </c>
      <c r="C171" s="45"/>
      <c r="D171" s="45"/>
      <c r="E171" s="45"/>
      <c r="F171" s="45"/>
      <c r="G171" s="46" t="str">
        <f>IF(SUM(C172:F172)=0,"",IF(SUM(C171:F171)&lt;1,"&lt;100%",IF(SUM(C171:F171)&gt;1,"&gt;100%","OK")))</f>
        <v/>
      </c>
      <c r="H171" s="47"/>
      <c r="I171" s="2"/>
      <c r="J171" s="48"/>
      <c r="K171" s="49">
        <f>K11+K27+K43+K59+K75+K91++K107+K123+K139+K155</f>
        <v>147600</v>
      </c>
      <c r="L171" s="50"/>
      <c r="M171" s="141"/>
      <c r="N171" s="7"/>
      <c r="O171" s="51"/>
      <c r="Q171" s="52" t="str">
        <f>IF(OR(H171="",B171=""),"-",(D172+F172)/H171)</f>
        <v>-</v>
      </c>
      <c r="S171" s="32" t="str">
        <f t="shared" si="20"/>
        <v>20/21</v>
      </c>
      <c r="T171" s="1">
        <f t="shared" si="21"/>
        <v>0</v>
      </c>
      <c r="U171" s="53">
        <v>7590</v>
      </c>
      <c r="V171" s="53"/>
      <c r="W171" s="44"/>
      <c r="X171" s="3">
        <f>+G177</f>
        <v>0</v>
      </c>
      <c r="Y171" s="40">
        <f>D177</f>
        <v>0</v>
      </c>
      <c r="Z171" s="54" t="s">
        <v>43</v>
      </c>
      <c r="AJ171" s="55"/>
    </row>
    <row r="172" spans="1:37" ht="16.5" customHeight="1">
      <c r="A172" s="139"/>
      <c r="B172" s="139"/>
      <c r="C172" s="56">
        <f>C12+C28+C44+C60+C76+C92+C108+C124+C140+C156</f>
        <v>0</v>
      </c>
      <c r="D172" s="56">
        <f>D12+D28+D44+D60+D76+D92+D108+D124+D140+D156</f>
        <v>0</v>
      </c>
      <c r="E172" s="56">
        <f>E12+E28+E44+E60+E76+E92+E108+E124+E140+E156</f>
        <v>0</v>
      </c>
      <c r="F172" s="56">
        <f>F12+F28+F44+F60+F76+F92+F108+F124+F140+F156</f>
        <v>0</v>
      </c>
      <c r="G172" s="38"/>
      <c r="H172" s="57"/>
      <c r="I172" s="2"/>
      <c r="J172" s="58"/>
      <c r="K172" s="57"/>
      <c r="L172" s="58"/>
      <c r="M172" s="141"/>
      <c r="N172" s="59"/>
      <c r="O172" s="60"/>
      <c r="P172" s="60"/>
      <c r="Q172" s="61"/>
      <c r="S172" s="32" t="str">
        <f t="shared" si="20"/>
        <v>20/21</v>
      </c>
      <c r="T172" s="1">
        <f t="shared" si="21"/>
        <v>0</v>
      </c>
      <c r="U172" s="40" t="s">
        <v>44</v>
      </c>
      <c r="V172" s="40"/>
      <c r="W172" s="44"/>
      <c r="X172" s="44"/>
      <c r="Y172" s="40">
        <f>L177</f>
        <v>0</v>
      </c>
      <c r="Z172" s="42" t="s">
        <v>45</v>
      </c>
    </row>
    <row r="173" spans="1:37" ht="10.5" customHeight="1">
      <c r="A173" s="62"/>
      <c r="B173" s="63"/>
      <c r="C173" s="64"/>
      <c r="D173" s="64"/>
      <c r="E173" s="64"/>
      <c r="F173" s="64"/>
      <c r="G173" s="65"/>
      <c r="H173" s="60"/>
      <c r="I173" s="30"/>
      <c r="J173" s="60"/>
      <c r="K173" s="60"/>
      <c r="L173" s="60"/>
      <c r="M173" s="66"/>
      <c r="N173" s="60"/>
      <c r="O173" s="60"/>
      <c r="P173" s="60"/>
      <c r="Q173" s="60"/>
      <c r="S173" s="32" t="str">
        <f t="shared" si="20"/>
        <v>20/21</v>
      </c>
      <c r="T173" s="1">
        <f t="shared" si="21"/>
        <v>0</v>
      </c>
      <c r="U173" s="40" t="s">
        <v>46</v>
      </c>
      <c r="V173" s="40"/>
      <c r="W173" s="44"/>
      <c r="X173" s="44"/>
      <c r="Y173" s="40">
        <f>L178</f>
        <v>0</v>
      </c>
      <c r="Z173" s="42" t="s">
        <v>47</v>
      </c>
    </row>
    <row r="174" spans="1:37" ht="16.5" customHeight="1">
      <c r="A174" s="137" t="s">
        <v>48</v>
      </c>
      <c r="B174" s="142" t="s">
        <v>49</v>
      </c>
      <c r="C174" s="142"/>
      <c r="D174" s="142"/>
      <c r="E174" s="142" t="s">
        <v>50</v>
      </c>
      <c r="F174" s="142"/>
      <c r="G174" s="142"/>
      <c r="H174" s="143" t="s">
        <v>51</v>
      </c>
      <c r="J174" s="144"/>
      <c r="K174" s="145" t="s">
        <v>48</v>
      </c>
      <c r="L174" s="142" t="s">
        <v>52</v>
      </c>
      <c r="M174" s="142"/>
      <c r="N174" s="142"/>
      <c r="O174" s="135" t="s">
        <v>53</v>
      </c>
      <c r="P174" s="135"/>
      <c r="Q174" s="135"/>
      <c r="S174" s="32" t="str">
        <f t="shared" si="20"/>
        <v>20/21</v>
      </c>
      <c r="T174" s="1">
        <f t="shared" si="21"/>
        <v>0</v>
      </c>
      <c r="U174" s="40" t="s">
        <v>54</v>
      </c>
      <c r="V174" s="40"/>
      <c r="W174" s="44"/>
      <c r="X174" s="44"/>
      <c r="Y174" s="40">
        <f>M177</f>
        <v>0</v>
      </c>
      <c r="Z174" s="42" t="s">
        <v>55</v>
      </c>
      <c r="AD174" s="22"/>
      <c r="AE174" s="22"/>
      <c r="AF174" s="22"/>
      <c r="AG174" s="22"/>
      <c r="AH174" s="22"/>
      <c r="AJ174" s="55"/>
    </row>
    <row r="175" spans="1:37" ht="16.5" customHeight="1">
      <c r="A175" s="137"/>
      <c r="B175" s="136" t="s">
        <v>56</v>
      </c>
      <c r="C175" s="136" t="s">
        <v>57</v>
      </c>
      <c r="D175" s="136" t="s">
        <v>58</v>
      </c>
      <c r="E175" s="136" t="s">
        <v>56</v>
      </c>
      <c r="F175" s="136" t="s">
        <v>57</v>
      </c>
      <c r="G175" s="136" t="s">
        <v>103</v>
      </c>
      <c r="H175" s="143"/>
      <c r="J175" s="144"/>
      <c r="K175" s="145"/>
      <c r="L175" s="138" t="s">
        <v>59</v>
      </c>
      <c r="M175" s="138" t="s">
        <v>60</v>
      </c>
      <c r="N175" s="138" t="s">
        <v>61</v>
      </c>
      <c r="O175" s="135"/>
      <c r="P175" s="135"/>
      <c r="Q175" s="135"/>
      <c r="S175" s="32" t="str">
        <f t="shared" si="20"/>
        <v>20/21</v>
      </c>
      <c r="T175" s="1">
        <f t="shared" si="21"/>
        <v>0</v>
      </c>
      <c r="U175" s="40" t="s">
        <v>62</v>
      </c>
      <c r="V175" s="40"/>
      <c r="Y175" s="40">
        <f>+M178</f>
        <v>0</v>
      </c>
      <c r="Z175" s="42" t="s">
        <v>63</v>
      </c>
    </row>
    <row r="176" spans="1:37" ht="18" customHeight="1">
      <c r="A176" s="137"/>
      <c r="B176" s="137"/>
      <c r="C176" s="137"/>
      <c r="D176" s="137"/>
      <c r="E176" s="137"/>
      <c r="F176" s="137"/>
      <c r="G176" s="137"/>
      <c r="H176" s="143"/>
      <c r="J176" s="144"/>
      <c r="K176" s="145"/>
      <c r="L176" s="138"/>
      <c r="M176" s="138"/>
      <c r="N176" s="138"/>
      <c r="O176" s="68" t="s">
        <v>64</v>
      </c>
      <c r="P176" s="68" t="s">
        <v>65</v>
      </c>
      <c r="Q176" s="68" t="s">
        <v>66</v>
      </c>
      <c r="R176" s="69" t="s">
        <v>67</v>
      </c>
      <c r="S176" s="32" t="str">
        <f t="shared" si="20"/>
        <v>20/21</v>
      </c>
      <c r="T176" s="1">
        <f t="shared" si="21"/>
        <v>0</v>
      </c>
      <c r="U176" s="40" t="s">
        <v>68</v>
      </c>
      <c r="V176" s="40"/>
      <c r="Y176" s="40">
        <f>+N178</f>
        <v>0</v>
      </c>
      <c r="Z176" s="42" t="s">
        <v>69</v>
      </c>
      <c r="AI176" s="36"/>
    </row>
    <row r="177" spans="1:26" s="2" customFormat="1" ht="16.5" customHeight="1">
      <c r="A177" s="70" t="s">
        <v>70</v>
      </c>
      <c r="B177" s="71"/>
      <c r="C177" s="71"/>
      <c r="D177" s="72"/>
      <c r="E177" s="71"/>
      <c r="F177" s="71"/>
      <c r="G177" s="102"/>
      <c r="H177" s="73"/>
      <c r="J177" s="74">
        <f>J17+J33+J49+J65+J81+J97+J113+J129+J145+J161</f>
        <v>0</v>
      </c>
      <c r="K177" s="70" t="s">
        <v>70</v>
      </c>
      <c r="L177" s="71"/>
      <c r="M177" s="71"/>
      <c r="N177" s="71"/>
      <c r="O177" s="71"/>
      <c r="P177" s="71"/>
      <c r="Q177" s="71"/>
      <c r="R177" s="2">
        <f>H177/15</f>
        <v>0</v>
      </c>
      <c r="S177" s="75" t="str">
        <f t="shared" si="20"/>
        <v>20/21</v>
      </c>
      <c r="T177" s="2">
        <f t="shared" si="21"/>
        <v>0</v>
      </c>
      <c r="U177" s="76">
        <v>7006</v>
      </c>
      <c r="V177" s="76"/>
      <c r="Y177" s="76">
        <f>O177</f>
        <v>0</v>
      </c>
      <c r="Z177" s="77" t="s">
        <v>71</v>
      </c>
    </row>
    <row r="178" spans="1:26" s="2" customFormat="1" ht="16.5" customHeight="1">
      <c r="A178" s="70" t="s">
        <v>72</v>
      </c>
      <c r="B178" s="71"/>
      <c r="C178" s="71"/>
      <c r="D178" s="78"/>
      <c r="E178" s="71"/>
      <c r="F178" s="71"/>
      <c r="G178" s="103"/>
      <c r="H178" s="73"/>
      <c r="J178" s="74">
        <f>J18+J34+J50+J66+J82+J98+J114+J130+J146+J162</f>
        <v>0</v>
      </c>
      <c r="K178" s="70" t="s">
        <v>72</v>
      </c>
      <c r="L178" s="71"/>
      <c r="M178" s="71"/>
      <c r="N178" s="79"/>
      <c r="O178" s="80"/>
      <c r="P178" s="81"/>
      <c r="Q178" s="81"/>
      <c r="R178" s="2">
        <f>H178/15</f>
        <v>0</v>
      </c>
      <c r="S178" s="75" t="str">
        <f t="shared" si="20"/>
        <v>20/21</v>
      </c>
      <c r="T178" s="2">
        <f t="shared" si="21"/>
        <v>0</v>
      </c>
      <c r="U178" s="76">
        <v>7007</v>
      </c>
      <c r="V178" s="76"/>
      <c r="Y178" s="76">
        <f>P177</f>
        <v>0</v>
      </c>
      <c r="Z178" s="77" t="s">
        <v>73</v>
      </c>
    </row>
    <row r="179" spans="1:26" ht="18" customHeight="1">
      <c r="A179" s="67" t="s">
        <v>74</v>
      </c>
      <c r="B179" s="82">
        <f>IF(B171="","",(B178+B177)/B171)</f>
        <v>0</v>
      </c>
      <c r="C179" s="82">
        <f>IF(B171="","",(C178+C177)/B171)</f>
        <v>0</v>
      </c>
      <c r="D179" s="82">
        <f>IF(B171="","",(D178+D177)/B171)</f>
        <v>0</v>
      </c>
      <c r="E179" s="133" t="str">
        <f>IF(B171="","",IF(B179+C179+D179&gt;Bovinos!$AE$5," -&gt; índices (somados) acima da média",IF(B179+C179+D179&lt;Bovinos!$AE$4," -&gt; índices (somados) abaixo da média","")))</f>
        <v xml:space="preserve"> -&gt; índices (somados) abaixo da média</v>
      </c>
      <c r="F179" s="133"/>
      <c r="G179" s="133"/>
      <c r="H179" s="133"/>
      <c r="J179" s="83"/>
      <c r="K179" s="37" t="s">
        <v>74</v>
      </c>
      <c r="L179" s="84">
        <f>IF(B171="","-",(L178+L177)/B171)</f>
        <v>0</v>
      </c>
      <c r="M179" s="84">
        <f>IF(B171="","-",(M178+M177)/B171)</f>
        <v>0</v>
      </c>
      <c r="N179" s="84">
        <f>IF(B171="","-",(N178+N177+P177+O177+Q177)/B171)</f>
        <v>0</v>
      </c>
      <c r="O179" s="134" t="str">
        <f>IF(AND(L179="-",M179="-",N179="-"),"",IF(L179&gt;Bovinos!$AB$5," -&gt; índice(s) fora da faixa média",IF(L179&lt;Bovinos!$AB$4," -&gt; índice(s) fora da faixa média",IF(M179&gt;Bovinos!$AC$5," -&gt; índice(s) fora da faixa média",IF(M179&lt;Bovinos!$AC$4," -&gt; índice(s) fora da faixa média",IF(N179&gt;Bovinos!$AD$5," -&gt; índice(s) fora da faixa média",IF(N179&lt;Bovinos!$AD$4," -&gt; índice(s) fora da faixa média","")))))))</f>
        <v xml:space="preserve"> -&gt; índice(s) fora da faixa média</v>
      </c>
      <c r="P179" s="134"/>
      <c r="Q179" s="134"/>
      <c r="S179" s="32" t="str">
        <f t="shared" si="20"/>
        <v>20/21</v>
      </c>
      <c r="T179" s="1">
        <f t="shared" si="21"/>
        <v>0</v>
      </c>
      <c r="U179" s="53">
        <v>7008</v>
      </c>
      <c r="V179" s="53"/>
      <c r="Y179" s="40">
        <f>Q177</f>
        <v>0</v>
      </c>
      <c r="Z179" s="54" t="s">
        <v>75</v>
      </c>
    </row>
    <row r="180" spans="1:26" s="85" customFormat="1" ht="23.25" customHeight="1">
      <c r="A180" s="85" t="s">
        <v>76</v>
      </c>
      <c r="B180" s="86">
        <f>B177+C177+D177</f>
        <v>0</v>
      </c>
      <c r="C180" s="86">
        <f>B178+C178</f>
        <v>0</v>
      </c>
      <c r="D180" s="86">
        <f>B180+C180</f>
        <v>0</v>
      </c>
      <c r="E180" s="87">
        <f>D180/B171</f>
        <v>0</v>
      </c>
      <c r="F180" s="88" t="e">
        <f>(C177+C178)/E172</f>
        <v>#DIV/0!</v>
      </c>
      <c r="S180" s="89" t="str">
        <f t="shared" si="20"/>
        <v>20/21</v>
      </c>
      <c r="T180" s="85">
        <f t="shared" si="21"/>
        <v>0</v>
      </c>
      <c r="U180" s="90" t="s">
        <v>77</v>
      </c>
      <c r="V180" s="90"/>
      <c r="Y180" s="90">
        <f>+N177</f>
        <v>0</v>
      </c>
      <c r="Z180" s="91" t="s">
        <v>78</v>
      </c>
    </row>
    <row r="181" spans="1:26" s="92" customFormat="1" ht="18.2" customHeight="1">
      <c r="A181" s="92" t="s">
        <v>79</v>
      </c>
      <c r="B181" s="93" t="e">
        <f>SUM(B177:B178)/D180</f>
        <v>#DIV/0!</v>
      </c>
      <c r="C181" s="93" t="e">
        <f>SUM(C177:C178)/D180</f>
        <v>#DIV/0!</v>
      </c>
      <c r="D181" s="94">
        <f>C177+C178</f>
        <v>0</v>
      </c>
      <c r="E181" s="95" t="e">
        <f>F181/D180*100</f>
        <v>#DIV/0!</v>
      </c>
      <c r="F181" s="96">
        <f>F21+F37+F53+F69+F85+F101+F117+F133+F149+F165</f>
        <v>15541</v>
      </c>
      <c r="G181" s="92" t="s">
        <v>80</v>
      </c>
      <c r="L181" s="97"/>
      <c r="S181" s="98" t="str">
        <f t="shared" si="20"/>
        <v>20/21</v>
      </c>
      <c r="T181" s="92">
        <f t="shared" si="21"/>
        <v>0</v>
      </c>
      <c r="U181" s="99" t="s">
        <v>81</v>
      </c>
      <c r="V181" s="99">
        <f>+H171</f>
        <v>0</v>
      </c>
      <c r="Y181" s="99"/>
      <c r="Z181" s="100" t="s">
        <v>82</v>
      </c>
    </row>
  </sheetData>
  <mergeCells count="353">
    <mergeCell ref="O2:P3"/>
    <mergeCell ref="A9:A10"/>
    <mergeCell ref="B9:B10"/>
    <mergeCell ref="C9:D9"/>
    <mergeCell ref="E9:F9"/>
    <mergeCell ref="H9:H10"/>
    <mergeCell ref="J9:J10"/>
    <mergeCell ref="K9:K10"/>
    <mergeCell ref="L9:L10"/>
    <mergeCell ref="M9:M10"/>
    <mergeCell ref="Q9:Q10"/>
    <mergeCell ref="A11:A12"/>
    <mergeCell ref="B11:B12"/>
    <mergeCell ref="M11:M12"/>
    <mergeCell ref="A14:A16"/>
    <mergeCell ref="B14:D14"/>
    <mergeCell ref="E14:G14"/>
    <mergeCell ref="H14:H16"/>
    <mergeCell ref="J14:J16"/>
    <mergeCell ref="K14:K16"/>
    <mergeCell ref="L14:N14"/>
    <mergeCell ref="O14:Q15"/>
    <mergeCell ref="B15:B16"/>
    <mergeCell ref="C15:C16"/>
    <mergeCell ref="D15:D16"/>
    <mergeCell ref="E15:E16"/>
    <mergeCell ref="F15:F16"/>
    <mergeCell ref="G15:G16"/>
    <mergeCell ref="L15:L16"/>
    <mergeCell ref="M15:M16"/>
    <mergeCell ref="N15:N16"/>
    <mergeCell ref="E19:H19"/>
    <mergeCell ref="O19:Q19"/>
    <mergeCell ref="A25:A26"/>
    <mergeCell ref="B25:B26"/>
    <mergeCell ref="C25:D25"/>
    <mergeCell ref="E25:F25"/>
    <mergeCell ref="H25:H26"/>
    <mergeCell ref="J25:J26"/>
    <mergeCell ref="K25:K26"/>
    <mergeCell ref="L25:L26"/>
    <mergeCell ref="M25:M26"/>
    <mergeCell ref="Q25:Q26"/>
    <mergeCell ref="A27:A28"/>
    <mergeCell ref="B27:B28"/>
    <mergeCell ref="M27:M28"/>
    <mergeCell ref="A30:A32"/>
    <mergeCell ref="B30:D30"/>
    <mergeCell ref="E30:G30"/>
    <mergeCell ref="H30:H32"/>
    <mergeCell ref="J30:J32"/>
    <mergeCell ref="K30:K32"/>
    <mergeCell ref="L30:N30"/>
    <mergeCell ref="O30:Q31"/>
    <mergeCell ref="B31:B32"/>
    <mergeCell ref="C31:C32"/>
    <mergeCell ref="D31:D32"/>
    <mergeCell ref="E31:E32"/>
    <mergeCell ref="F31:F32"/>
    <mergeCell ref="G31:G32"/>
    <mergeCell ref="L31:L32"/>
    <mergeCell ref="M31:M32"/>
    <mergeCell ref="N31:N32"/>
    <mergeCell ref="E35:H35"/>
    <mergeCell ref="O35:Q35"/>
    <mergeCell ref="A41:A42"/>
    <mergeCell ref="B41:B42"/>
    <mergeCell ref="C41:D41"/>
    <mergeCell ref="E41:F41"/>
    <mergeCell ref="H41:H42"/>
    <mergeCell ref="J41:J42"/>
    <mergeCell ref="K41:K42"/>
    <mergeCell ref="L41:L42"/>
    <mergeCell ref="M41:M42"/>
    <mergeCell ref="Q41:Q42"/>
    <mergeCell ref="A43:A44"/>
    <mergeCell ref="B43:B44"/>
    <mergeCell ref="M43:M44"/>
    <mergeCell ref="A46:A48"/>
    <mergeCell ref="B46:D46"/>
    <mergeCell ref="E46:G46"/>
    <mergeCell ref="H46:H48"/>
    <mergeCell ref="J46:J48"/>
    <mergeCell ref="K46:K48"/>
    <mergeCell ref="L46:N46"/>
    <mergeCell ref="O46:Q47"/>
    <mergeCell ref="B47:B48"/>
    <mergeCell ref="C47:C48"/>
    <mergeCell ref="D47:D48"/>
    <mergeCell ref="E47:E48"/>
    <mergeCell ref="F47:F48"/>
    <mergeCell ref="G47:G48"/>
    <mergeCell ref="L47:L48"/>
    <mergeCell ref="M47:M48"/>
    <mergeCell ref="N47:N48"/>
    <mergeCell ref="E51:H51"/>
    <mergeCell ref="O51:Q51"/>
    <mergeCell ref="A57:A58"/>
    <mergeCell ref="B57:B58"/>
    <mergeCell ref="C57:D57"/>
    <mergeCell ref="E57:F57"/>
    <mergeCell ref="H57:H58"/>
    <mergeCell ref="J57:J58"/>
    <mergeCell ref="K57:K58"/>
    <mergeCell ref="L57:L58"/>
    <mergeCell ref="M57:M58"/>
    <mergeCell ref="Q57:Q58"/>
    <mergeCell ref="A59:A60"/>
    <mergeCell ref="B59:B60"/>
    <mergeCell ref="M59:M60"/>
    <mergeCell ref="A62:A64"/>
    <mergeCell ref="B62:D62"/>
    <mergeCell ref="E62:G62"/>
    <mergeCell ref="H62:H64"/>
    <mergeCell ref="J62:J64"/>
    <mergeCell ref="K62:K64"/>
    <mergeCell ref="L62:N62"/>
    <mergeCell ref="O62:Q63"/>
    <mergeCell ref="B63:B64"/>
    <mergeCell ref="C63:C64"/>
    <mergeCell ref="D63:D64"/>
    <mergeCell ref="E63:E64"/>
    <mergeCell ref="F63:F64"/>
    <mergeCell ref="G63:G64"/>
    <mergeCell ref="L63:L64"/>
    <mergeCell ref="M63:M64"/>
    <mergeCell ref="N63:N64"/>
    <mergeCell ref="E67:H67"/>
    <mergeCell ref="O67:Q67"/>
    <mergeCell ref="A73:A74"/>
    <mergeCell ref="B73:B74"/>
    <mergeCell ref="C73:D73"/>
    <mergeCell ref="E73:F73"/>
    <mergeCell ref="H73:H74"/>
    <mergeCell ref="J73:J74"/>
    <mergeCell ref="K73:K74"/>
    <mergeCell ref="L73:L74"/>
    <mergeCell ref="M73:M74"/>
    <mergeCell ref="Q73:Q74"/>
    <mergeCell ref="A75:A76"/>
    <mergeCell ref="B75:B76"/>
    <mergeCell ref="M75:M76"/>
    <mergeCell ref="A78:A80"/>
    <mergeCell ref="B78:D78"/>
    <mergeCell ref="E78:G78"/>
    <mergeCell ref="H78:H80"/>
    <mergeCell ref="J78:J80"/>
    <mergeCell ref="K78:K80"/>
    <mergeCell ref="L78:N78"/>
    <mergeCell ref="O78:Q79"/>
    <mergeCell ref="B79:B80"/>
    <mergeCell ref="C79:C80"/>
    <mergeCell ref="D79:D80"/>
    <mergeCell ref="E79:E80"/>
    <mergeCell ref="F79:F80"/>
    <mergeCell ref="G79:G80"/>
    <mergeCell ref="L79:L80"/>
    <mergeCell ref="M79:M80"/>
    <mergeCell ref="N79:N80"/>
    <mergeCell ref="E83:H83"/>
    <mergeCell ref="O83:Q83"/>
    <mergeCell ref="A89:A90"/>
    <mergeCell ref="B89:B90"/>
    <mergeCell ref="C89:D89"/>
    <mergeCell ref="E89:F89"/>
    <mergeCell ref="H89:H90"/>
    <mergeCell ref="J89:J90"/>
    <mergeCell ref="K89:K90"/>
    <mergeCell ref="L89:L90"/>
    <mergeCell ref="M89:M90"/>
    <mergeCell ref="Q89:Q90"/>
    <mergeCell ref="A91:A92"/>
    <mergeCell ref="B91:B92"/>
    <mergeCell ref="M91:M92"/>
    <mergeCell ref="A94:A96"/>
    <mergeCell ref="B94:D94"/>
    <mergeCell ref="E94:G94"/>
    <mergeCell ref="H94:H96"/>
    <mergeCell ref="J94:J96"/>
    <mergeCell ref="K94:K96"/>
    <mergeCell ref="L94:N94"/>
    <mergeCell ref="O94:Q95"/>
    <mergeCell ref="B95:B96"/>
    <mergeCell ref="C95:C96"/>
    <mergeCell ref="D95:D96"/>
    <mergeCell ref="E95:E96"/>
    <mergeCell ref="F95:F96"/>
    <mergeCell ref="G95:G96"/>
    <mergeCell ref="L95:L96"/>
    <mergeCell ref="M95:M96"/>
    <mergeCell ref="N95:N96"/>
    <mergeCell ref="E99:H99"/>
    <mergeCell ref="O99:Q99"/>
    <mergeCell ref="A105:A106"/>
    <mergeCell ref="B105:B106"/>
    <mergeCell ref="C105:D105"/>
    <mergeCell ref="E105:F105"/>
    <mergeCell ref="H105:H106"/>
    <mergeCell ref="J105:J106"/>
    <mergeCell ref="K105:K106"/>
    <mergeCell ref="L105:L106"/>
    <mergeCell ref="M105:M106"/>
    <mergeCell ref="Q105:Q106"/>
    <mergeCell ref="A107:A108"/>
    <mergeCell ref="B107:B108"/>
    <mergeCell ref="M107:M108"/>
    <mergeCell ref="A110:A112"/>
    <mergeCell ref="B110:D110"/>
    <mergeCell ref="E110:G110"/>
    <mergeCell ref="H110:H112"/>
    <mergeCell ref="J110:J112"/>
    <mergeCell ref="K110:K112"/>
    <mergeCell ref="L110:N110"/>
    <mergeCell ref="O110:Q111"/>
    <mergeCell ref="B111:B112"/>
    <mergeCell ref="C111:C112"/>
    <mergeCell ref="D111:D112"/>
    <mergeCell ref="E111:E112"/>
    <mergeCell ref="F111:F112"/>
    <mergeCell ref="G111:G112"/>
    <mergeCell ref="L111:L112"/>
    <mergeCell ref="M111:M112"/>
    <mergeCell ref="N111:N112"/>
    <mergeCell ref="E115:H115"/>
    <mergeCell ref="O115:Q115"/>
    <mergeCell ref="A121:A122"/>
    <mergeCell ref="B121:B122"/>
    <mergeCell ref="C121:D121"/>
    <mergeCell ref="E121:F121"/>
    <mergeCell ref="H121:H122"/>
    <mergeCell ref="J121:J122"/>
    <mergeCell ref="K121:K122"/>
    <mergeCell ref="L121:L122"/>
    <mergeCell ref="M121:M122"/>
    <mergeCell ref="Q121:Q122"/>
    <mergeCell ref="A123:A124"/>
    <mergeCell ref="B123:B124"/>
    <mergeCell ref="M123:M124"/>
    <mergeCell ref="A126:A128"/>
    <mergeCell ref="B126:D126"/>
    <mergeCell ref="E126:G126"/>
    <mergeCell ref="H126:H128"/>
    <mergeCell ref="J126:J128"/>
    <mergeCell ref="K126:K128"/>
    <mergeCell ref="L126:N126"/>
    <mergeCell ref="O126:Q127"/>
    <mergeCell ref="B127:B128"/>
    <mergeCell ref="C127:C128"/>
    <mergeCell ref="D127:D128"/>
    <mergeCell ref="E127:E128"/>
    <mergeCell ref="F127:F128"/>
    <mergeCell ref="G127:G128"/>
    <mergeCell ref="L127:L128"/>
    <mergeCell ref="M127:M128"/>
    <mergeCell ref="N127:N128"/>
    <mergeCell ref="E131:H131"/>
    <mergeCell ref="O131:Q131"/>
    <mergeCell ref="A137:A138"/>
    <mergeCell ref="B137:B138"/>
    <mergeCell ref="C137:D137"/>
    <mergeCell ref="E137:F137"/>
    <mergeCell ref="H137:H138"/>
    <mergeCell ref="J137:J138"/>
    <mergeCell ref="K137:K138"/>
    <mergeCell ref="L137:L138"/>
    <mergeCell ref="M137:M138"/>
    <mergeCell ref="Q137:Q138"/>
    <mergeCell ref="A139:A140"/>
    <mergeCell ref="B139:B140"/>
    <mergeCell ref="M139:M140"/>
    <mergeCell ref="A142:A144"/>
    <mergeCell ref="B142:D142"/>
    <mergeCell ref="E142:G142"/>
    <mergeCell ref="H142:H144"/>
    <mergeCell ref="J142:J144"/>
    <mergeCell ref="K142:K144"/>
    <mergeCell ref="L142:N142"/>
    <mergeCell ref="O142:Q143"/>
    <mergeCell ref="B143:B144"/>
    <mergeCell ref="C143:C144"/>
    <mergeCell ref="D143:D144"/>
    <mergeCell ref="E143:E144"/>
    <mergeCell ref="F143:F144"/>
    <mergeCell ref="G143:G144"/>
    <mergeCell ref="L143:L144"/>
    <mergeCell ref="M143:M144"/>
    <mergeCell ref="N143:N144"/>
    <mergeCell ref="E147:H147"/>
    <mergeCell ref="O147:Q147"/>
    <mergeCell ref="A153:A154"/>
    <mergeCell ref="B153:B154"/>
    <mergeCell ref="C153:D153"/>
    <mergeCell ref="E153:F153"/>
    <mergeCell ref="H153:H154"/>
    <mergeCell ref="J153:J154"/>
    <mergeCell ref="K153:K154"/>
    <mergeCell ref="L153:L154"/>
    <mergeCell ref="M153:M154"/>
    <mergeCell ref="Q153:Q154"/>
    <mergeCell ref="A155:A156"/>
    <mergeCell ref="B155:B156"/>
    <mergeCell ref="M155:M156"/>
    <mergeCell ref="A158:A160"/>
    <mergeCell ref="B158:D158"/>
    <mergeCell ref="E158:G158"/>
    <mergeCell ref="H158:H160"/>
    <mergeCell ref="J158:J160"/>
    <mergeCell ref="K158:K160"/>
    <mergeCell ref="L158:N158"/>
    <mergeCell ref="O158:Q159"/>
    <mergeCell ref="B159:B160"/>
    <mergeCell ref="C159:C160"/>
    <mergeCell ref="D159:D160"/>
    <mergeCell ref="E159:E160"/>
    <mergeCell ref="F159:F160"/>
    <mergeCell ref="G159:G160"/>
    <mergeCell ref="L159:L160"/>
    <mergeCell ref="M159:M160"/>
    <mergeCell ref="N159:N160"/>
    <mergeCell ref="E163:H163"/>
    <mergeCell ref="O163:Q163"/>
    <mergeCell ref="A169:A170"/>
    <mergeCell ref="B169:B170"/>
    <mergeCell ref="C169:D169"/>
    <mergeCell ref="E169:F169"/>
    <mergeCell ref="H169:H170"/>
    <mergeCell ref="J169:J170"/>
    <mergeCell ref="K169:K170"/>
    <mergeCell ref="L169:L170"/>
    <mergeCell ref="M169:M170"/>
    <mergeCell ref="Q169:Q170"/>
    <mergeCell ref="A171:A172"/>
    <mergeCell ref="B171:B172"/>
    <mergeCell ref="M171:M172"/>
    <mergeCell ref="A174:A176"/>
    <mergeCell ref="B174:D174"/>
    <mergeCell ref="E174:G174"/>
    <mergeCell ref="H174:H176"/>
    <mergeCell ref="J174:J176"/>
    <mergeCell ref="K174:K176"/>
    <mergeCell ref="L174:N174"/>
    <mergeCell ref="E179:H179"/>
    <mergeCell ref="O179:Q179"/>
    <mergeCell ref="O174:Q175"/>
    <mergeCell ref="B175:B176"/>
    <mergeCell ref="C175:C176"/>
    <mergeCell ref="D175:D176"/>
    <mergeCell ref="E175:E176"/>
    <mergeCell ref="F175:F176"/>
    <mergeCell ref="G175:G176"/>
    <mergeCell ref="L175:L176"/>
    <mergeCell ref="M175:M176"/>
    <mergeCell ref="N175:N176"/>
  </mergeCells>
  <conditionalFormatting sqref="E17 G17 E18:F18">
    <cfRule type="expression" dxfId="76" priority="2">
      <formula>NA()</formula>
    </cfRule>
  </conditionalFormatting>
  <conditionalFormatting sqref="G11">
    <cfRule type="cellIs" dxfId="75" priority="3" operator="equal">
      <formula>"&gt;100%"</formula>
    </cfRule>
    <cfRule type="cellIs" dxfId="74" priority="4" operator="equal">
      <formula>"&lt;100%"</formula>
    </cfRule>
    <cfRule type="cellIs" dxfId="73" priority="5" operator="equal">
      <formula>"OK"</formula>
    </cfRule>
  </conditionalFormatting>
  <conditionalFormatting sqref="L19">
    <cfRule type="expression" dxfId="72" priority="6">
      <formula>"ou(K19&lt;$AA$4;k19&gt;$AA$5)"</formula>
    </cfRule>
  </conditionalFormatting>
  <conditionalFormatting sqref="Q11">
    <cfRule type="cellIs" dxfId="71" priority="7" operator="equal">
      <formula>"-"</formula>
    </cfRule>
    <cfRule type="cellIs" dxfId="70" priority="8" operator="notBetween">
      <formula>$AF$4</formula>
      <formula>$AF$5</formula>
    </cfRule>
  </conditionalFormatting>
  <conditionalFormatting sqref="E33 G33 E34:F34">
    <cfRule type="expression" dxfId="69" priority="9">
      <formula>NA()</formula>
    </cfRule>
  </conditionalFormatting>
  <conditionalFormatting sqref="G27">
    <cfRule type="cellIs" dxfId="68" priority="10" operator="equal">
      <formula>"&gt;100%"</formula>
    </cfRule>
    <cfRule type="cellIs" dxfId="67" priority="11" operator="equal">
      <formula>"&lt;100%"</formula>
    </cfRule>
    <cfRule type="cellIs" dxfId="66" priority="12" operator="equal">
      <formula>"OK"</formula>
    </cfRule>
  </conditionalFormatting>
  <conditionalFormatting sqref="L35">
    <cfRule type="expression" dxfId="65" priority="13">
      <formula>"ou(K19&lt;$AA$4;k19&gt;$AA$5)"</formula>
    </cfRule>
  </conditionalFormatting>
  <conditionalFormatting sqref="Q27">
    <cfRule type="cellIs" dxfId="64" priority="14" operator="equal">
      <formula>"-"</formula>
    </cfRule>
    <cfRule type="cellIs" dxfId="63" priority="15" operator="notBetween">
      <formula>$AF$4</formula>
      <formula>$AF$5</formula>
    </cfRule>
  </conditionalFormatting>
  <conditionalFormatting sqref="E49 G49 E50:F50">
    <cfRule type="expression" dxfId="62" priority="16">
      <formula>NA()</formula>
    </cfRule>
  </conditionalFormatting>
  <conditionalFormatting sqref="G43">
    <cfRule type="cellIs" dxfId="61" priority="17" operator="equal">
      <formula>"&gt;100%"</formula>
    </cfRule>
    <cfRule type="cellIs" dxfId="60" priority="18" operator="equal">
      <formula>"&lt;100%"</formula>
    </cfRule>
    <cfRule type="cellIs" dxfId="59" priority="19" operator="equal">
      <formula>"OK"</formula>
    </cfRule>
  </conditionalFormatting>
  <conditionalFormatting sqref="L51">
    <cfRule type="expression" dxfId="58" priority="20">
      <formula>"ou(K19&lt;$AA$4;k19&gt;$AA$5)"</formula>
    </cfRule>
  </conditionalFormatting>
  <conditionalFormatting sqref="Q43">
    <cfRule type="cellIs" dxfId="57" priority="21" operator="equal">
      <formula>"-"</formula>
    </cfRule>
    <cfRule type="cellIs" dxfId="56" priority="22" operator="notBetween">
      <formula>$AF$4</formula>
      <formula>$AF$5</formula>
    </cfRule>
  </conditionalFormatting>
  <conditionalFormatting sqref="E65 G65 E66:F66">
    <cfRule type="expression" dxfId="55" priority="23">
      <formula>NA()</formula>
    </cfRule>
  </conditionalFormatting>
  <conditionalFormatting sqref="G59">
    <cfRule type="cellIs" dxfId="54" priority="24" operator="equal">
      <formula>"&gt;100%"</formula>
    </cfRule>
    <cfRule type="cellIs" dxfId="53" priority="25" operator="equal">
      <formula>"&lt;100%"</formula>
    </cfRule>
    <cfRule type="cellIs" dxfId="52" priority="26" operator="equal">
      <formula>"OK"</formula>
    </cfRule>
  </conditionalFormatting>
  <conditionalFormatting sqref="L67">
    <cfRule type="expression" dxfId="51" priority="27">
      <formula>"ou(K19&lt;$AA$4;k19&gt;$AA$5)"</formula>
    </cfRule>
  </conditionalFormatting>
  <conditionalFormatting sqref="Q59">
    <cfRule type="cellIs" dxfId="50" priority="28" operator="equal">
      <formula>"-"</formula>
    </cfRule>
    <cfRule type="cellIs" dxfId="49" priority="29" operator="notBetween">
      <formula>$AF$4</formula>
      <formula>$AF$5</formula>
    </cfRule>
  </conditionalFormatting>
  <conditionalFormatting sqref="E81 G81 E82:F82">
    <cfRule type="expression" dxfId="48" priority="30">
      <formula>NA()</formula>
    </cfRule>
  </conditionalFormatting>
  <conditionalFormatting sqref="G75">
    <cfRule type="cellIs" dxfId="47" priority="31" operator="equal">
      <formula>"&gt;100%"</formula>
    </cfRule>
    <cfRule type="cellIs" dxfId="46" priority="32" operator="equal">
      <formula>"&lt;100%"</formula>
    </cfRule>
    <cfRule type="cellIs" dxfId="45" priority="33" operator="equal">
      <formula>"OK"</formula>
    </cfRule>
  </conditionalFormatting>
  <conditionalFormatting sqref="L83">
    <cfRule type="expression" dxfId="44" priority="34">
      <formula>"ou(K19&lt;$AA$4;k19&gt;$AA$5)"</formula>
    </cfRule>
  </conditionalFormatting>
  <conditionalFormatting sqref="Q75">
    <cfRule type="cellIs" dxfId="43" priority="35" operator="equal">
      <formula>"-"</formula>
    </cfRule>
    <cfRule type="cellIs" dxfId="42" priority="36" operator="notBetween">
      <formula>$AF$4</formula>
      <formula>$AF$5</formula>
    </cfRule>
  </conditionalFormatting>
  <conditionalFormatting sqref="E97 G97 E98:F98">
    <cfRule type="expression" dxfId="41" priority="37">
      <formula>NA()</formula>
    </cfRule>
  </conditionalFormatting>
  <conditionalFormatting sqref="G91">
    <cfRule type="cellIs" dxfId="40" priority="38" operator="equal">
      <formula>"&gt;100%"</formula>
    </cfRule>
    <cfRule type="cellIs" dxfId="39" priority="39" operator="equal">
      <formula>"&lt;100%"</formula>
    </cfRule>
    <cfRule type="cellIs" dxfId="38" priority="40" operator="equal">
      <formula>"OK"</formula>
    </cfRule>
  </conditionalFormatting>
  <conditionalFormatting sqref="L99">
    <cfRule type="expression" dxfId="37" priority="41">
      <formula>"ou(K19&lt;$AA$4;k19&gt;$AA$5)"</formula>
    </cfRule>
  </conditionalFormatting>
  <conditionalFormatting sqref="Q91">
    <cfRule type="cellIs" dxfId="36" priority="42" operator="equal">
      <formula>"-"</formula>
    </cfRule>
    <cfRule type="cellIs" dxfId="35" priority="43" operator="notBetween">
      <formula>$AF$4</formula>
      <formula>$AF$5</formula>
    </cfRule>
  </conditionalFormatting>
  <conditionalFormatting sqref="E113 G113 E114:F114">
    <cfRule type="expression" dxfId="34" priority="44">
      <formula>NA()</formula>
    </cfRule>
  </conditionalFormatting>
  <conditionalFormatting sqref="G107">
    <cfRule type="cellIs" dxfId="33" priority="45" operator="equal">
      <formula>"&gt;100%"</formula>
    </cfRule>
    <cfRule type="cellIs" dxfId="32" priority="46" operator="equal">
      <formula>"&lt;100%"</formula>
    </cfRule>
    <cfRule type="cellIs" dxfId="31" priority="47" operator="equal">
      <formula>"OK"</formula>
    </cfRule>
  </conditionalFormatting>
  <conditionalFormatting sqref="L115">
    <cfRule type="expression" dxfId="30" priority="48">
      <formula>"ou(K19&lt;$AA$4;k19&gt;$AA$5)"</formula>
    </cfRule>
  </conditionalFormatting>
  <conditionalFormatting sqref="Q107">
    <cfRule type="cellIs" dxfId="29" priority="49" operator="equal">
      <formula>"-"</formula>
    </cfRule>
    <cfRule type="cellIs" dxfId="28" priority="50" operator="notBetween">
      <formula>$AF$4</formula>
      <formula>$AF$5</formula>
    </cfRule>
  </conditionalFormatting>
  <conditionalFormatting sqref="E129 G129 E130:F130">
    <cfRule type="expression" dxfId="27" priority="51">
      <formula>NA()</formula>
    </cfRule>
  </conditionalFormatting>
  <conditionalFormatting sqref="G123">
    <cfRule type="cellIs" dxfId="26" priority="52" operator="equal">
      <formula>"&gt;100%"</formula>
    </cfRule>
    <cfRule type="cellIs" dxfId="25" priority="53" operator="equal">
      <formula>"&lt;100%"</formula>
    </cfRule>
    <cfRule type="cellIs" dxfId="24" priority="54" operator="equal">
      <formula>"OK"</formula>
    </cfRule>
  </conditionalFormatting>
  <conditionalFormatting sqref="L131">
    <cfRule type="expression" dxfId="23" priority="55">
      <formula>"ou(K19&lt;$AA$4;k19&gt;$AA$5)"</formula>
    </cfRule>
  </conditionalFormatting>
  <conditionalFormatting sqref="Q123">
    <cfRule type="cellIs" dxfId="22" priority="56" operator="equal">
      <formula>"-"</formula>
    </cfRule>
    <cfRule type="cellIs" dxfId="21" priority="57" operator="notBetween">
      <formula>$AF$4</formula>
      <formula>$AF$5</formula>
    </cfRule>
  </conditionalFormatting>
  <conditionalFormatting sqref="E145 G145 E146:F146">
    <cfRule type="expression" dxfId="20" priority="58">
      <formula>NA()</formula>
    </cfRule>
  </conditionalFormatting>
  <conditionalFormatting sqref="G139">
    <cfRule type="cellIs" dxfId="19" priority="59" operator="equal">
      <formula>"&gt;100%"</formula>
    </cfRule>
    <cfRule type="cellIs" dxfId="18" priority="60" operator="equal">
      <formula>"&lt;100%"</formula>
    </cfRule>
    <cfRule type="cellIs" dxfId="17" priority="61" operator="equal">
      <formula>"OK"</formula>
    </cfRule>
  </conditionalFormatting>
  <conditionalFormatting sqref="L147">
    <cfRule type="expression" dxfId="16" priority="62">
      <formula>"ou(K19&lt;$AA$4;k19&gt;$AA$5)"</formula>
    </cfRule>
  </conditionalFormatting>
  <conditionalFormatting sqref="Q139">
    <cfRule type="cellIs" dxfId="15" priority="63" operator="equal">
      <formula>"-"</formula>
    </cfRule>
    <cfRule type="cellIs" dxfId="14" priority="64" operator="notBetween">
      <formula>$AF$4</formula>
      <formula>$AF$5</formula>
    </cfRule>
  </conditionalFormatting>
  <conditionalFormatting sqref="E161 G161 E162:F162">
    <cfRule type="expression" dxfId="13" priority="65">
      <formula>NA()</formula>
    </cfRule>
  </conditionalFormatting>
  <conditionalFormatting sqref="G155">
    <cfRule type="cellIs" dxfId="12" priority="66" operator="equal">
      <formula>"&gt;100%"</formula>
    </cfRule>
    <cfRule type="cellIs" dxfId="11" priority="67" operator="equal">
      <formula>"&lt;100%"</formula>
    </cfRule>
    <cfRule type="cellIs" dxfId="10" priority="68" operator="equal">
      <formula>"OK"</formula>
    </cfRule>
  </conditionalFormatting>
  <conditionalFormatting sqref="L163">
    <cfRule type="expression" dxfId="9" priority="69">
      <formula>"ou(K19&lt;$AA$4;k19&gt;$AA$5)"</formula>
    </cfRule>
  </conditionalFormatting>
  <conditionalFormatting sqref="Q155">
    <cfRule type="cellIs" dxfId="8" priority="70" operator="equal">
      <formula>"-"</formula>
    </cfRule>
    <cfRule type="cellIs" dxfId="7" priority="71" operator="notBetween">
      <formula>$AF$4</formula>
      <formula>$AF$5</formula>
    </cfRule>
  </conditionalFormatting>
  <conditionalFormatting sqref="E177 G177 E178:F178">
    <cfRule type="expression" dxfId="6" priority="72">
      <formula>NA()</formula>
    </cfRule>
  </conditionalFormatting>
  <conditionalFormatting sqref="G171">
    <cfRule type="cellIs" dxfId="5" priority="73" operator="equal">
      <formula>"&gt;100%"</formula>
    </cfRule>
    <cfRule type="cellIs" dxfId="4" priority="74" operator="equal">
      <formula>"&lt;100%"</formula>
    </cfRule>
    <cfRule type="cellIs" dxfId="3" priority="75" operator="equal">
      <formula>"OK"</formula>
    </cfRule>
  </conditionalFormatting>
  <conditionalFormatting sqref="L179">
    <cfRule type="expression" dxfId="2" priority="76">
      <formula>"ou(K19&lt;$AA$4;k19&gt;$AA$5)"</formula>
    </cfRule>
  </conditionalFormatting>
  <conditionalFormatting sqref="Q171">
    <cfRule type="cellIs" dxfId="1" priority="77" operator="equal">
      <formula>"-"</formula>
    </cfRule>
    <cfRule type="cellIs" dxfId="0" priority="78" operator="notBetween">
      <formula>$AF$4</formula>
      <formula>$AF$5</formula>
    </cfRule>
  </conditionalFormatting>
  <printOptions horizontalCentered="1" verticalCentered="1"/>
  <pageMargins left="0.39374999999999999" right="0.39374999999999999" top="0.51180555555555496" bottom="0.65069444444444402" header="0.51180555555555496" footer="0.51180555555555496"/>
  <pageSetup paperSize="9" scale="79" firstPageNumber="0" orientation="landscape" horizontalDpi="300" verticalDpi="300"/>
  <headerFooter>
    <oddFooter>&amp;C&amp;"Arial,Normal"&amp;10Página &amp;P de &amp;N</oddFooter>
  </headerFooter>
  <rowBreaks count="5" manualBreakCount="5">
    <brk id="38" max="16383" man="1"/>
    <brk id="70" max="16383" man="1"/>
    <brk id="102" max="16383" man="1"/>
    <brk id="134" max="16383" man="1"/>
    <brk id="1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showGridLines="0" topLeftCell="A7" zoomScaleNormal="100" workbookViewId="0">
      <pane xSplit="1" ySplit="2" topLeftCell="B9" activePane="bottomRight" state="frozen"/>
      <selection activeCell="A7" sqref="A7"/>
      <selection pane="topRight" activeCell="B7" sqref="B7"/>
      <selection pane="bottomLeft" activeCell="A9" sqref="A9"/>
      <selection pane="bottomRight" activeCell="A7" sqref="A7:A8"/>
    </sheetView>
  </sheetViews>
  <sheetFormatPr defaultColWidth="6.6640625" defaultRowHeight="11.25"/>
  <cols>
    <col min="1" max="1" width="14.5" customWidth="1"/>
    <col min="2" max="2" width="7.6640625" customWidth="1"/>
    <col min="3" max="3" width="8.1640625" customWidth="1"/>
    <col min="4" max="7" width="8.1640625" hidden="1" customWidth="1"/>
    <col min="10" max="10" width="7.6640625" customWidth="1"/>
    <col min="11" max="11" width="7.1640625" customWidth="1"/>
    <col min="12" max="14" width="5.33203125" customWidth="1"/>
    <col min="15" max="17" width="6.83203125" customWidth="1"/>
    <col min="18" max="18" width="7.5" customWidth="1"/>
    <col min="19" max="19" width="7.33203125" customWidth="1"/>
    <col min="20" max="21" width="7.83203125" customWidth="1"/>
    <col min="22" max="248" width="6.1640625" customWidth="1"/>
    <col min="249" max="256" width="6" customWidth="1"/>
  </cols>
  <sheetData>
    <row r="1" spans="1:21">
      <c r="A1" s="36" t="s">
        <v>0</v>
      </c>
      <c r="B1" s="36"/>
      <c r="C1" s="1"/>
      <c r="D1" s="1"/>
      <c r="E1" s="1"/>
      <c r="F1" s="1"/>
      <c r="G1" s="1"/>
      <c r="H1" s="1"/>
      <c r="I1" s="11"/>
      <c r="J1" s="1"/>
      <c r="K1" s="104"/>
      <c r="L1" s="95"/>
      <c r="M1" s="1"/>
      <c r="N1" s="1"/>
      <c r="O1" s="1"/>
      <c r="P1" s="1"/>
      <c r="Q1" s="1"/>
      <c r="R1" s="1"/>
      <c r="S1" s="104"/>
      <c r="T1" s="104"/>
      <c r="U1" s="104"/>
    </row>
    <row r="2" spans="1:21">
      <c r="A2" s="36" t="s">
        <v>2</v>
      </c>
      <c r="B2" s="36"/>
      <c r="C2" s="1"/>
      <c r="D2" s="1"/>
      <c r="E2" s="1"/>
      <c r="F2" s="1"/>
      <c r="G2" s="1"/>
      <c r="H2" s="1"/>
      <c r="I2" s="11"/>
      <c r="J2" s="1"/>
      <c r="K2" s="104"/>
      <c r="L2" s="95"/>
      <c r="M2" s="1"/>
      <c r="N2" s="1"/>
      <c r="O2" s="1"/>
      <c r="P2" s="1"/>
      <c r="Q2" s="1"/>
      <c r="R2" s="1"/>
      <c r="S2" s="104"/>
      <c r="T2" s="104"/>
      <c r="U2" s="104"/>
    </row>
    <row r="3" spans="1:21">
      <c r="A3" s="36" t="s">
        <v>104</v>
      </c>
      <c r="B3" s="36"/>
      <c r="C3" s="1"/>
      <c r="D3" s="1"/>
      <c r="E3" s="1"/>
      <c r="F3" s="1"/>
      <c r="G3" s="1"/>
      <c r="H3" s="1"/>
      <c r="I3" s="11"/>
      <c r="J3" s="1"/>
      <c r="K3" s="104"/>
      <c r="L3" s="95"/>
      <c r="M3" s="1"/>
      <c r="N3" s="1"/>
      <c r="O3" s="1"/>
      <c r="P3" s="1"/>
      <c r="Q3" s="1"/>
      <c r="R3" s="1"/>
      <c r="S3" s="104"/>
      <c r="T3" s="104"/>
      <c r="U3" s="104"/>
    </row>
    <row r="4" spans="1:21">
      <c r="A4" s="1"/>
      <c r="B4" s="1"/>
      <c r="C4" s="1"/>
      <c r="D4" s="1"/>
      <c r="E4" s="1"/>
      <c r="F4" s="1"/>
      <c r="G4" s="1"/>
      <c r="H4" s="1"/>
      <c r="I4" s="11"/>
      <c r="J4" s="1"/>
      <c r="K4" s="104"/>
      <c r="L4" s="95"/>
      <c r="M4" s="1"/>
      <c r="N4" s="1"/>
      <c r="O4" s="1"/>
      <c r="P4" s="1"/>
      <c r="Q4" s="1"/>
      <c r="R4" s="1"/>
      <c r="S4" s="104"/>
      <c r="T4" s="104"/>
      <c r="U4" s="104"/>
    </row>
    <row r="5" spans="1:21" ht="15.75">
      <c r="A5" s="14" t="s">
        <v>10</v>
      </c>
      <c r="B5" s="14"/>
      <c r="C5" s="105"/>
      <c r="D5" s="105"/>
      <c r="E5" s="105"/>
      <c r="F5" s="105"/>
      <c r="G5" s="105"/>
      <c r="H5" s="105"/>
      <c r="I5" s="11"/>
      <c r="J5" s="105"/>
      <c r="K5" s="106"/>
      <c r="L5" s="107"/>
      <c r="M5" s="105"/>
      <c r="N5" s="105"/>
      <c r="O5" s="105"/>
      <c r="P5" s="105"/>
      <c r="Q5" s="105"/>
      <c r="R5" s="105"/>
      <c r="S5" s="106"/>
      <c r="T5" s="106"/>
      <c r="U5" s="106"/>
    </row>
    <row r="6" spans="1:21" s="108" customFormat="1">
      <c r="I6" s="109"/>
      <c r="K6" s="110"/>
      <c r="L6" s="111"/>
      <c r="S6" s="110"/>
      <c r="T6" s="110"/>
      <c r="U6" s="110"/>
    </row>
    <row r="7" spans="1:21" s="108" customFormat="1" ht="11.25" customHeight="1">
      <c r="A7" s="157" t="s">
        <v>105</v>
      </c>
      <c r="B7" s="152" t="s">
        <v>106</v>
      </c>
      <c r="C7" s="152" t="s">
        <v>107</v>
      </c>
      <c r="D7" s="152" t="s">
        <v>108</v>
      </c>
      <c r="E7" s="152" t="s">
        <v>109</v>
      </c>
      <c r="F7" s="152" t="s">
        <v>110</v>
      </c>
      <c r="G7" s="152" t="s">
        <v>111</v>
      </c>
      <c r="H7" s="152" t="s">
        <v>112</v>
      </c>
      <c r="I7" s="155" t="s">
        <v>113</v>
      </c>
      <c r="J7" s="156" t="s">
        <v>114</v>
      </c>
      <c r="K7" s="152" t="s">
        <v>115</v>
      </c>
      <c r="L7" s="153" t="s">
        <v>116</v>
      </c>
      <c r="M7" s="153"/>
      <c r="N7" s="153"/>
      <c r="O7" s="153" t="s">
        <v>117</v>
      </c>
      <c r="P7" s="153"/>
      <c r="Q7" s="153"/>
      <c r="R7" s="154" t="s">
        <v>118</v>
      </c>
      <c r="S7" s="154" t="s">
        <v>119</v>
      </c>
      <c r="T7" s="151" t="s">
        <v>120</v>
      </c>
      <c r="U7" s="151" t="s">
        <v>121</v>
      </c>
    </row>
    <row r="8" spans="1:21" s="108" customFormat="1" ht="45.75" customHeight="1">
      <c r="A8" s="157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12" t="s">
        <v>122</v>
      </c>
      <c r="M8" s="112" t="s">
        <v>123</v>
      </c>
      <c r="N8" s="112" t="s">
        <v>124</v>
      </c>
      <c r="O8" s="112" t="s">
        <v>122</v>
      </c>
      <c r="P8" s="112" t="s">
        <v>123</v>
      </c>
      <c r="Q8" s="112" t="s">
        <v>124</v>
      </c>
      <c r="R8" s="154"/>
      <c r="S8" s="154"/>
      <c r="T8" s="151"/>
      <c r="U8" s="151"/>
    </row>
    <row r="9" spans="1:21" ht="20.25" customHeight="1">
      <c r="A9" s="113" t="s">
        <v>22</v>
      </c>
      <c r="B9" s="114">
        <v>11230</v>
      </c>
      <c r="C9" s="115">
        <v>4828.8999999999996</v>
      </c>
      <c r="D9" s="115">
        <f>Bovinos!C12</f>
        <v>0</v>
      </c>
      <c r="E9" s="115">
        <f>Bovinos!D12</f>
        <v>0</v>
      </c>
      <c r="F9" s="115">
        <f>Bovinos!E12</f>
        <v>0</v>
      </c>
      <c r="G9" s="115">
        <f>Bovinos!F12</f>
        <v>0</v>
      </c>
      <c r="H9" s="116">
        <v>0.43</v>
      </c>
      <c r="I9" s="116">
        <v>0.46553045206983001</v>
      </c>
      <c r="J9" s="117">
        <v>5227.4689048910504</v>
      </c>
      <c r="K9" s="114">
        <v>2248</v>
      </c>
      <c r="L9" s="118">
        <v>0.5</v>
      </c>
      <c r="M9" s="118">
        <v>0.15</v>
      </c>
      <c r="N9" s="118">
        <v>0.35</v>
      </c>
      <c r="O9" s="119">
        <v>5500</v>
      </c>
      <c r="P9" s="119">
        <v>3200</v>
      </c>
      <c r="Q9" s="119">
        <v>1700</v>
      </c>
      <c r="R9" s="120">
        <v>3825</v>
      </c>
      <c r="S9" s="121">
        <v>8598.6</v>
      </c>
      <c r="T9" s="122">
        <v>2250</v>
      </c>
      <c r="U9" s="122">
        <v>8600</v>
      </c>
    </row>
    <row r="10" spans="1:21" ht="20.25" customHeight="1">
      <c r="A10" s="113" t="s">
        <v>84</v>
      </c>
      <c r="B10" s="114">
        <v>74900</v>
      </c>
      <c r="C10" s="115">
        <v>14980</v>
      </c>
      <c r="D10" s="115">
        <f>Bovinos!C28</f>
        <v>0</v>
      </c>
      <c r="E10" s="115">
        <f>Bovinos!D28</f>
        <v>0</v>
      </c>
      <c r="F10" s="115">
        <f>Bovinos!E28</f>
        <v>0</v>
      </c>
      <c r="G10" s="115">
        <f>Bovinos!F28</f>
        <v>0</v>
      </c>
      <c r="H10" s="116">
        <v>0.2</v>
      </c>
      <c r="I10" s="116">
        <v>0.39492656875834398</v>
      </c>
      <c r="J10" s="117">
        <v>29579.026822746098</v>
      </c>
      <c r="K10" s="114">
        <v>5916</v>
      </c>
      <c r="L10" s="118">
        <v>0.6</v>
      </c>
      <c r="M10" s="118">
        <v>0.1</v>
      </c>
      <c r="N10" s="118">
        <v>0.3</v>
      </c>
      <c r="O10" s="119">
        <v>5200</v>
      </c>
      <c r="P10" s="119">
        <v>3200</v>
      </c>
      <c r="Q10" s="119">
        <v>1700</v>
      </c>
      <c r="R10" s="120">
        <v>3950</v>
      </c>
      <c r="S10" s="121">
        <v>23368.2</v>
      </c>
      <c r="T10" s="122">
        <v>5920</v>
      </c>
      <c r="U10" s="122">
        <v>23400</v>
      </c>
    </row>
    <row r="11" spans="1:21" ht="20.25" customHeight="1">
      <c r="A11" s="113" t="s">
        <v>86</v>
      </c>
      <c r="B11" s="114">
        <v>34900</v>
      </c>
      <c r="C11" s="115">
        <v>11237.8</v>
      </c>
      <c r="D11" s="115">
        <f>Bovinos!C44</f>
        <v>0</v>
      </c>
      <c r="E11" s="115">
        <f>Bovinos!D44</f>
        <v>0</v>
      </c>
      <c r="F11" s="115">
        <f>Bovinos!E44</f>
        <v>0</v>
      </c>
      <c r="G11" s="115">
        <f>Bovinos!F44</f>
        <v>0</v>
      </c>
      <c r="H11" s="116">
        <v>0.32200000000000001</v>
      </c>
      <c r="I11" s="116">
        <v>0.43487159408425102</v>
      </c>
      <c r="J11" s="117">
        <v>15177.501109040901</v>
      </c>
      <c r="K11" s="114">
        <v>4887</v>
      </c>
      <c r="L11" s="118">
        <v>0.4</v>
      </c>
      <c r="M11" s="118">
        <v>0.15</v>
      </c>
      <c r="N11" s="118">
        <v>0.45</v>
      </c>
      <c r="O11" s="119">
        <v>5100</v>
      </c>
      <c r="P11" s="119">
        <v>3100</v>
      </c>
      <c r="Q11" s="119">
        <v>1800</v>
      </c>
      <c r="R11" s="120">
        <v>3315</v>
      </c>
      <c r="S11" s="121">
        <v>16200.405000000001</v>
      </c>
      <c r="T11" s="122">
        <v>4890</v>
      </c>
      <c r="U11" s="122">
        <v>16200</v>
      </c>
    </row>
    <row r="12" spans="1:21" ht="20.25" customHeight="1">
      <c r="A12" s="113" t="s">
        <v>88</v>
      </c>
      <c r="B12" s="114">
        <v>6360</v>
      </c>
      <c r="C12" s="115">
        <v>2009.76</v>
      </c>
      <c r="D12" s="115">
        <f>Bovinos!C60</f>
        <v>0</v>
      </c>
      <c r="E12" s="115">
        <f>Bovinos!D60</f>
        <v>0</v>
      </c>
      <c r="F12" s="115">
        <f>Bovinos!E60</f>
        <v>0</v>
      </c>
      <c r="G12" s="115">
        <f>Bovinos!F60</f>
        <v>0</v>
      </c>
      <c r="H12" s="116">
        <v>0.316</v>
      </c>
      <c r="I12" s="116">
        <v>0.39855505134941499</v>
      </c>
      <c r="J12" s="117">
        <v>2535</v>
      </c>
      <c r="K12" s="114">
        <v>801</v>
      </c>
      <c r="L12" s="118">
        <v>0.45</v>
      </c>
      <c r="M12" s="118">
        <v>0.15</v>
      </c>
      <c r="N12" s="118">
        <v>0.4</v>
      </c>
      <c r="O12" s="119">
        <v>5200</v>
      </c>
      <c r="P12" s="119">
        <v>3200</v>
      </c>
      <c r="Q12" s="119">
        <v>1800</v>
      </c>
      <c r="R12" s="120">
        <v>3540</v>
      </c>
      <c r="S12" s="121">
        <v>2835.54</v>
      </c>
      <c r="T12" s="122">
        <v>800</v>
      </c>
      <c r="U12" s="122">
        <v>2850</v>
      </c>
    </row>
    <row r="13" spans="1:21" ht="20.25" customHeight="1">
      <c r="A13" s="113" t="s">
        <v>90</v>
      </c>
      <c r="B13" s="114">
        <v>33050</v>
      </c>
      <c r="C13" s="115">
        <v>10311.6</v>
      </c>
      <c r="D13" s="115">
        <f>Bovinos!C76</f>
        <v>0</v>
      </c>
      <c r="E13" s="115">
        <f>Bovinos!D76</f>
        <v>0</v>
      </c>
      <c r="F13" s="115">
        <f>Bovinos!E76</f>
        <v>0</v>
      </c>
      <c r="G13" s="115">
        <f>Bovinos!F76</f>
        <v>0</v>
      </c>
      <c r="H13" s="116">
        <v>0.312</v>
      </c>
      <c r="I13" s="116">
        <v>0.45637922339889098</v>
      </c>
      <c r="J13" s="117">
        <v>15082.993967745901</v>
      </c>
      <c r="K13" s="114">
        <v>4706</v>
      </c>
      <c r="L13" s="118">
        <v>0.4</v>
      </c>
      <c r="M13" s="118">
        <v>0.2</v>
      </c>
      <c r="N13" s="118">
        <v>0.4</v>
      </c>
      <c r="O13" s="119">
        <v>5100</v>
      </c>
      <c r="P13" s="119">
        <v>3200</v>
      </c>
      <c r="Q13" s="119">
        <v>1500</v>
      </c>
      <c r="R13" s="120">
        <v>3280</v>
      </c>
      <c r="S13" s="121">
        <v>15435.68</v>
      </c>
      <c r="T13" s="122">
        <v>4710</v>
      </c>
      <c r="U13" s="122">
        <v>15500</v>
      </c>
    </row>
    <row r="14" spans="1:21" ht="20.25" customHeight="1">
      <c r="A14" s="113" t="s">
        <v>92</v>
      </c>
      <c r="B14" s="114">
        <v>50750</v>
      </c>
      <c r="C14" s="115">
        <v>11165</v>
      </c>
      <c r="D14" s="115">
        <f>Bovinos!C92</f>
        <v>0</v>
      </c>
      <c r="E14" s="115">
        <f>Bovinos!D92</f>
        <v>0</v>
      </c>
      <c r="F14" s="115">
        <f>Bovinos!E92</f>
        <v>0</v>
      </c>
      <c r="G14" s="115">
        <f>Bovinos!F92</f>
        <v>0</v>
      </c>
      <c r="H14" s="116">
        <v>0.22</v>
      </c>
      <c r="I14" s="116">
        <v>0.37572772055530701</v>
      </c>
      <c r="J14" s="117">
        <v>19067.435626675298</v>
      </c>
      <c r="K14" s="114">
        <v>4195</v>
      </c>
      <c r="L14" s="118">
        <v>0.6</v>
      </c>
      <c r="M14" s="118">
        <v>0.15</v>
      </c>
      <c r="N14" s="118">
        <v>0.25</v>
      </c>
      <c r="O14" s="119">
        <v>5800</v>
      </c>
      <c r="P14" s="119">
        <v>3300</v>
      </c>
      <c r="Q14" s="119">
        <v>1800</v>
      </c>
      <c r="R14" s="120">
        <v>4425</v>
      </c>
      <c r="S14" s="121">
        <v>18562.875</v>
      </c>
      <c r="T14" s="122">
        <v>4200</v>
      </c>
      <c r="U14" s="122">
        <v>18600</v>
      </c>
    </row>
    <row r="15" spans="1:21" ht="20.25" customHeight="1">
      <c r="A15" s="113" t="s">
        <v>94</v>
      </c>
      <c r="B15" s="114">
        <v>59530</v>
      </c>
      <c r="C15" s="115">
        <v>8631.85</v>
      </c>
      <c r="D15" s="115">
        <f>Bovinos!C108</f>
        <v>0</v>
      </c>
      <c r="E15" s="115">
        <f>Bovinos!D108</f>
        <v>0</v>
      </c>
      <c r="F15" s="115">
        <f>Bovinos!E108</f>
        <v>0</v>
      </c>
      <c r="G15" s="115">
        <f>Bovinos!F108</f>
        <v>0</v>
      </c>
      <c r="H15" s="116">
        <v>0.14499999999999999</v>
      </c>
      <c r="I15" s="116">
        <v>0.45054072997097999</v>
      </c>
      <c r="J15" s="117">
        <v>26818.046329122601</v>
      </c>
      <c r="K15" s="114">
        <v>3889</v>
      </c>
      <c r="L15" s="118">
        <v>0.4</v>
      </c>
      <c r="M15" s="118">
        <v>0.1</v>
      </c>
      <c r="N15" s="118">
        <v>0.5</v>
      </c>
      <c r="O15" s="119">
        <v>5200</v>
      </c>
      <c r="P15" s="119">
        <v>3000</v>
      </c>
      <c r="Q15" s="119">
        <v>1600</v>
      </c>
      <c r="R15" s="120">
        <v>3180</v>
      </c>
      <c r="S15" s="121">
        <v>12367.02</v>
      </c>
      <c r="T15" s="122">
        <v>3890</v>
      </c>
      <c r="U15" s="122">
        <v>12400</v>
      </c>
    </row>
    <row r="16" spans="1:21" ht="20.25" customHeight="1">
      <c r="A16" s="113" t="s">
        <v>96</v>
      </c>
      <c r="B16" s="114">
        <v>76230</v>
      </c>
      <c r="C16" s="115">
        <v>17151.75</v>
      </c>
      <c r="D16" s="115">
        <f>Bovinos!C124</f>
        <v>0</v>
      </c>
      <c r="E16" s="115">
        <f>Bovinos!D124</f>
        <v>0</v>
      </c>
      <c r="F16" s="115">
        <f>Bovinos!E124</f>
        <v>0</v>
      </c>
      <c r="G16" s="115">
        <f>Bovinos!F124</f>
        <v>0</v>
      </c>
      <c r="H16" s="116">
        <v>0.22500000000000001</v>
      </c>
      <c r="I16" s="116">
        <v>0.454530878773303</v>
      </c>
      <c r="J16" s="117">
        <v>34648.206584494699</v>
      </c>
      <c r="K16" s="114">
        <v>7796</v>
      </c>
      <c r="L16" s="118">
        <v>0.4</v>
      </c>
      <c r="M16" s="118">
        <v>0.05</v>
      </c>
      <c r="N16" s="118">
        <v>0.55000000000000004</v>
      </c>
      <c r="O16" s="119">
        <v>5000</v>
      </c>
      <c r="P16" s="119">
        <v>3000</v>
      </c>
      <c r="Q16" s="119">
        <v>1300.0728647533899</v>
      </c>
      <c r="R16" s="120">
        <v>2865.0400756143599</v>
      </c>
      <c r="S16" s="121">
        <v>22335.852429489601</v>
      </c>
      <c r="T16" s="122">
        <v>7800</v>
      </c>
      <c r="U16" s="122">
        <v>22350</v>
      </c>
    </row>
    <row r="17" spans="1:21" ht="20.25" customHeight="1">
      <c r="A17" s="113" t="s">
        <v>98</v>
      </c>
      <c r="B17" s="114">
        <v>27190</v>
      </c>
      <c r="C17" s="115">
        <v>4350.3999999999996</v>
      </c>
      <c r="D17" s="115">
        <f>Bovinos!C140</f>
        <v>0</v>
      </c>
      <c r="E17" s="115">
        <f>Bovinos!D140</f>
        <v>0</v>
      </c>
      <c r="F17" s="115">
        <f>Bovinos!E140</f>
        <v>0</v>
      </c>
      <c r="G17" s="115">
        <f>Bovinos!F140</f>
        <v>0</v>
      </c>
      <c r="H17" s="116">
        <v>0.16</v>
      </c>
      <c r="I17" s="116">
        <v>0.44018940787054101</v>
      </c>
      <c r="J17" s="117">
        <v>11969.387755102</v>
      </c>
      <c r="K17" s="114">
        <v>1915</v>
      </c>
      <c r="L17" s="118">
        <v>0.4</v>
      </c>
      <c r="M17" s="118">
        <v>0.1</v>
      </c>
      <c r="N17" s="118">
        <v>0.5</v>
      </c>
      <c r="O17" s="119">
        <v>5300</v>
      </c>
      <c r="P17" s="119">
        <v>3200</v>
      </c>
      <c r="Q17" s="119">
        <v>1700</v>
      </c>
      <c r="R17" s="120">
        <v>3290</v>
      </c>
      <c r="S17" s="121">
        <v>6300.35</v>
      </c>
      <c r="T17" s="122">
        <v>1920</v>
      </c>
      <c r="U17" s="122">
        <v>6300</v>
      </c>
    </row>
    <row r="18" spans="1:21" ht="20.25" customHeight="1">
      <c r="A18" s="113" t="s">
        <v>101</v>
      </c>
      <c r="B18" s="114">
        <v>39740</v>
      </c>
      <c r="C18" s="115">
        <v>12875.76</v>
      </c>
      <c r="D18" s="115">
        <f>Bovinos!C156</f>
        <v>0</v>
      </c>
      <c r="E18" s="115">
        <f>Bovinos!D156</f>
        <v>0</v>
      </c>
      <c r="F18" s="115">
        <f>Bovinos!E156</f>
        <v>0</v>
      </c>
      <c r="G18" s="115">
        <f>Bovinos!F156</f>
        <v>0</v>
      </c>
      <c r="H18" s="116">
        <v>0.32400000000000001</v>
      </c>
      <c r="I18" s="116">
        <v>0.45123549988505501</v>
      </c>
      <c r="J18" s="117">
        <v>17931.096061030701</v>
      </c>
      <c r="K18" s="114">
        <v>5810</v>
      </c>
      <c r="L18" s="118">
        <v>0.45</v>
      </c>
      <c r="M18" s="118">
        <v>0.15</v>
      </c>
      <c r="N18" s="118">
        <v>0.4</v>
      </c>
      <c r="O18" s="119">
        <v>5500</v>
      </c>
      <c r="P18" s="119">
        <v>3200</v>
      </c>
      <c r="Q18" s="119">
        <v>1800</v>
      </c>
      <c r="R18" s="120">
        <v>3675</v>
      </c>
      <c r="S18" s="121">
        <v>21351.75</v>
      </c>
      <c r="T18" s="122">
        <v>5810</v>
      </c>
      <c r="U18" s="122">
        <v>21400</v>
      </c>
    </row>
    <row r="19" spans="1:21" ht="20.25" customHeight="1">
      <c r="A19" s="123" t="s">
        <v>125</v>
      </c>
      <c r="B19" s="124">
        <f t="shared" ref="B19:G19" si="0">SUM(B9:B18)</f>
        <v>413880</v>
      </c>
      <c r="C19" s="124">
        <f t="shared" si="0"/>
        <v>97542.819999999992</v>
      </c>
      <c r="D19" s="124">
        <f t="shared" si="0"/>
        <v>0</v>
      </c>
      <c r="E19" s="124">
        <f t="shared" si="0"/>
        <v>0</v>
      </c>
      <c r="F19" s="124">
        <f t="shared" si="0"/>
        <v>0</v>
      </c>
      <c r="G19" s="124">
        <f t="shared" si="0"/>
        <v>0</v>
      </c>
      <c r="H19" s="125">
        <v>0.23567898907896001</v>
      </c>
      <c r="I19" s="125">
        <v>0.43225118978516303</v>
      </c>
      <c r="J19" s="124">
        <v>178036.16316084901</v>
      </c>
      <c r="K19" s="124">
        <v>42163</v>
      </c>
      <c r="L19" s="126">
        <v>0.46113298389583302</v>
      </c>
      <c r="M19" s="126">
        <v>0.12319213528449099</v>
      </c>
      <c r="N19" s="126">
        <v>0.41567488081967602</v>
      </c>
      <c r="O19" s="127"/>
      <c r="P19" s="127"/>
      <c r="Q19" s="127"/>
      <c r="R19" s="128">
        <v>3494.9190624360099</v>
      </c>
      <c r="S19" s="124">
        <v>147356.27242949</v>
      </c>
      <c r="T19" s="129">
        <v>42190</v>
      </c>
      <c r="U19" s="129">
        <v>147600</v>
      </c>
    </row>
    <row r="20" spans="1:21" ht="25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30" t="s">
        <v>126</v>
      </c>
      <c r="O20" s="131" t="s">
        <v>127</v>
      </c>
      <c r="P20" s="131" t="s">
        <v>128</v>
      </c>
      <c r="Q20" s="131" t="s">
        <v>129</v>
      </c>
      <c r="R20" s="1"/>
      <c r="S20" s="1"/>
      <c r="T20" s="1"/>
      <c r="U20" s="1"/>
    </row>
    <row r="21" spans="1: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30"/>
      <c r="O21" s="132">
        <v>17.344262295082</v>
      </c>
      <c r="P21" s="132">
        <v>10.7118644067797</v>
      </c>
      <c r="Q21" s="132">
        <v>6.0727537690012303</v>
      </c>
      <c r="R21" s="1"/>
      <c r="S21" s="1"/>
      <c r="T21" s="1"/>
      <c r="U21" s="1"/>
    </row>
  </sheetData>
  <mergeCells count="17"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T7:T8"/>
    <mergeCell ref="U7:U8"/>
    <mergeCell ref="K7:K8"/>
    <mergeCell ref="L7:N7"/>
    <mergeCell ref="O7:Q7"/>
    <mergeCell ref="R7:R8"/>
    <mergeCell ref="S7:S8"/>
  </mergeCells>
  <printOptions horizontalCentered="1" verticalCentered="1"/>
  <pageMargins left="0.47222222222222199" right="0.47222222222222199" top="0.47222222222222199" bottom="0.47222222222222199" header="0.51180555555555496" footer="0.51180555555555496"/>
  <pageSetup paperSize="9" scale="75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/>
  </sheetViews>
  <sheetFormatPr defaultRowHeight="15"/>
  <cols>
    <col min="1" max="1" width="14.83203125" style="158" customWidth="1"/>
    <col min="2" max="2" width="9.33203125" style="158" customWidth="1"/>
    <col min="3" max="3" width="20" style="158" customWidth="1"/>
    <col min="4" max="4" width="5.6640625" style="158" customWidth="1"/>
    <col min="5" max="5" width="18" style="158" bestFit="1" customWidth="1"/>
    <col min="6" max="6" width="19.1640625" style="158" bestFit="1" customWidth="1"/>
    <col min="7" max="7" width="2" style="158" customWidth="1"/>
    <col min="8" max="8" width="15.5" style="158" bestFit="1" customWidth="1"/>
    <col min="9" max="10" width="15.83203125" style="158" bestFit="1" customWidth="1"/>
    <col min="11" max="11" width="14" style="158" bestFit="1" customWidth="1"/>
    <col min="12" max="12" width="14.1640625" style="158" bestFit="1" customWidth="1"/>
    <col min="13" max="13" width="17.5" style="158" bestFit="1" customWidth="1"/>
    <col min="14" max="14" width="15.83203125" style="158" bestFit="1" customWidth="1"/>
    <col min="15" max="15" width="17.5" style="158" bestFit="1" customWidth="1"/>
    <col min="16" max="16" width="9.33203125" style="158" customWidth="1"/>
    <col min="17" max="17" width="16.6640625" style="158" customWidth="1"/>
    <col min="18" max="256" width="9.33203125" style="158" customWidth="1"/>
    <col min="257" max="257" width="14.83203125" style="158" customWidth="1"/>
    <col min="258" max="258" width="9.33203125" style="158" customWidth="1"/>
    <col min="259" max="259" width="20" style="158" customWidth="1"/>
    <col min="260" max="260" width="5.6640625" style="158" customWidth="1"/>
    <col min="261" max="261" width="18" style="158" bestFit="1" customWidth="1"/>
    <col min="262" max="262" width="19.1640625" style="158" bestFit="1" customWidth="1"/>
    <col min="263" max="263" width="2" style="158" customWidth="1"/>
    <col min="264" max="264" width="15.5" style="158" bestFit="1" customWidth="1"/>
    <col min="265" max="266" width="15.83203125" style="158" bestFit="1" customWidth="1"/>
    <col min="267" max="267" width="14" style="158" bestFit="1" customWidth="1"/>
    <col min="268" max="268" width="14.1640625" style="158" bestFit="1" customWidth="1"/>
    <col min="269" max="269" width="17.5" style="158" bestFit="1" customWidth="1"/>
    <col min="270" max="270" width="15.83203125" style="158" bestFit="1" customWidth="1"/>
    <col min="271" max="271" width="17.5" style="158" bestFit="1" customWidth="1"/>
    <col min="272" max="272" width="9.33203125" style="158" customWidth="1"/>
    <col min="273" max="273" width="16.6640625" style="158" customWidth="1"/>
    <col min="274" max="512" width="9.33203125" style="158" customWidth="1"/>
    <col min="513" max="513" width="14.83203125" style="158" customWidth="1"/>
    <col min="514" max="514" width="9.33203125" style="158" customWidth="1"/>
    <col min="515" max="515" width="20" style="158" customWidth="1"/>
    <col min="516" max="516" width="5.6640625" style="158" customWidth="1"/>
    <col min="517" max="517" width="18" style="158" bestFit="1" customWidth="1"/>
    <col min="518" max="518" width="19.1640625" style="158" bestFit="1" customWidth="1"/>
    <col min="519" max="519" width="2" style="158" customWidth="1"/>
    <col min="520" max="520" width="15.5" style="158" bestFit="1" customWidth="1"/>
    <col min="521" max="522" width="15.83203125" style="158" bestFit="1" customWidth="1"/>
    <col min="523" max="523" width="14" style="158" bestFit="1" customWidth="1"/>
    <col min="524" max="524" width="14.1640625" style="158" bestFit="1" customWidth="1"/>
    <col min="525" max="525" width="17.5" style="158" bestFit="1" customWidth="1"/>
    <col min="526" max="526" width="15.83203125" style="158" bestFit="1" customWidth="1"/>
    <col min="527" max="527" width="17.5" style="158" bestFit="1" customWidth="1"/>
    <col min="528" max="528" width="9.33203125" style="158" customWidth="1"/>
    <col min="529" max="529" width="16.6640625" style="158" customWidth="1"/>
    <col min="530" max="768" width="9.33203125" style="158" customWidth="1"/>
    <col min="769" max="769" width="14.83203125" style="158" customWidth="1"/>
    <col min="770" max="770" width="9.33203125" style="158" customWidth="1"/>
    <col min="771" max="771" width="20" style="158" customWidth="1"/>
    <col min="772" max="772" width="5.6640625" style="158" customWidth="1"/>
    <col min="773" max="773" width="18" style="158" bestFit="1" customWidth="1"/>
    <col min="774" max="774" width="19.1640625" style="158" bestFit="1" customWidth="1"/>
    <col min="775" max="775" width="2" style="158" customWidth="1"/>
    <col min="776" max="776" width="15.5" style="158" bestFit="1" customWidth="1"/>
    <col min="777" max="778" width="15.83203125" style="158" bestFit="1" customWidth="1"/>
    <col min="779" max="779" width="14" style="158" bestFit="1" customWidth="1"/>
    <col min="780" max="780" width="14.1640625" style="158" bestFit="1" customWidth="1"/>
    <col min="781" max="781" width="17.5" style="158" bestFit="1" customWidth="1"/>
    <col min="782" max="782" width="15.83203125" style="158" bestFit="1" customWidth="1"/>
    <col min="783" max="783" width="17.5" style="158" bestFit="1" customWidth="1"/>
    <col min="784" max="784" width="9.33203125" style="158" customWidth="1"/>
    <col min="785" max="785" width="16.6640625" style="158" customWidth="1"/>
    <col min="786" max="1024" width="9.33203125" style="158" customWidth="1"/>
    <col min="1025" max="1025" width="14.83203125" style="158" customWidth="1"/>
    <col min="1026" max="1026" width="9.33203125" style="158" customWidth="1"/>
    <col min="1027" max="1027" width="20" style="158" customWidth="1"/>
    <col min="1028" max="1028" width="5.6640625" style="158" customWidth="1"/>
    <col min="1029" max="1029" width="18" style="158" bestFit="1" customWidth="1"/>
    <col min="1030" max="1030" width="19.1640625" style="158" bestFit="1" customWidth="1"/>
    <col min="1031" max="1031" width="2" style="158" customWidth="1"/>
    <col min="1032" max="1032" width="15.5" style="158" bestFit="1" customWidth="1"/>
    <col min="1033" max="1034" width="15.83203125" style="158" bestFit="1" customWidth="1"/>
    <col min="1035" max="1035" width="14" style="158" bestFit="1" customWidth="1"/>
    <col min="1036" max="1036" width="14.1640625" style="158" bestFit="1" customWidth="1"/>
    <col min="1037" max="1037" width="17.5" style="158" bestFit="1" customWidth="1"/>
    <col min="1038" max="1038" width="15.83203125" style="158" bestFit="1" customWidth="1"/>
    <col min="1039" max="1039" width="17.5" style="158" bestFit="1" customWidth="1"/>
    <col min="1040" max="1040" width="9.33203125" style="158" customWidth="1"/>
    <col min="1041" max="1041" width="16.6640625" style="158" customWidth="1"/>
    <col min="1042" max="1280" width="9.33203125" style="158" customWidth="1"/>
    <col min="1281" max="1281" width="14.83203125" style="158" customWidth="1"/>
    <col min="1282" max="1282" width="9.33203125" style="158" customWidth="1"/>
    <col min="1283" max="1283" width="20" style="158" customWidth="1"/>
    <col min="1284" max="1284" width="5.6640625" style="158" customWidth="1"/>
    <col min="1285" max="1285" width="18" style="158" bestFit="1" customWidth="1"/>
    <col min="1286" max="1286" width="19.1640625" style="158" bestFit="1" customWidth="1"/>
    <col min="1287" max="1287" width="2" style="158" customWidth="1"/>
    <col min="1288" max="1288" width="15.5" style="158" bestFit="1" customWidth="1"/>
    <col min="1289" max="1290" width="15.83203125" style="158" bestFit="1" customWidth="1"/>
    <col min="1291" max="1291" width="14" style="158" bestFit="1" customWidth="1"/>
    <col min="1292" max="1292" width="14.1640625" style="158" bestFit="1" customWidth="1"/>
    <col min="1293" max="1293" width="17.5" style="158" bestFit="1" customWidth="1"/>
    <col min="1294" max="1294" width="15.83203125" style="158" bestFit="1" customWidth="1"/>
    <col min="1295" max="1295" width="17.5" style="158" bestFit="1" customWidth="1"/>
    <col min="1296" max="1296" width="9.33203125" style="158" customWidth="1"/>
    <col min="1297" max="1297" width="16.6640625" style="158" customWidth="1"/>
    <col min="1298" max="1536" width="9.33203125" style="158" customWidth="1"/>
    <col min="1537" max="1537" width="14.83203125" style="158" customWidth="1"/>
    <col min="1538" max="1538" width="9.33203125" style="158" customWidth="1"/>
    <col min="1539" max="1539" width="20" style="158" customWidth="1"/>
    <col min="1540" max="1540" width="5.6640625" style="158" customWidth="1"/>
    <col min="1541" max="1541" width="18" style="158" bestFit="1" customWidth="1"/>
    <col min="1542" max="1542" width="19.1640625" style="158" bestFit="1" customWidth="1"/>
    <col min="1543" max="1543" width="2" style="158" customWidth="1"/>
    <col min="1544" max="1544" width="15.5" style="158" bestFit="1" customWidth="1"/>
    <col min="1545" max="1546" width="15.83203125" style="158" bestFit="1" customWidth="1"/>
    <col min="1547" max="1547" width="14" style="158" bestFit="1" customWidth="1"/>
    <col min="1548" max="1548" width="14.1640625" style="158" bestFit="1" customWidth="1"/>
    <col min="1549" max="1549" width="17.5" style="158" bestFit="1" customWidth="1"/>
    <col min="1550" max="1550" width="15.83203125" style="158" bestFit="1" customWidth="1"/>
    <col min="1551" max="1551" width="17.5" style="158" bestFit="1" customWidth="1"/>
    <col min="1552" max="1552" width="9.33203125" style="158" customWidth="1"/>
    <col min="1553" max="1553" width="16.6640625" style="158" customWidth="1"/>
    <col min="1554" max="1792" width="9.33203125" style="158" customWidth="1"/>
    <col min="1793" max="1793" width="14.83203125" style="158" customWidth="1"/>
    <col min="1794" max="1794" width="9.33203125" style="158" customWidth="1"/>
    <col min="1795" max="1795" width="20" style="158" customWidth="1"/>
    <col min="1796" max="1796" width="5.6640625" style="158" customWidth="1"/>
    <col min="1797" max="1797" width="18" style="158" bestFit="1" customWidth="1"/>
    <col min="1798" max="1798" width="19.1640625" style="158" bestFit="1" customWidth="1"/>
    <col min="1799" max="1799" width="2" style="158" customWidth="1"/>
    <col min="1800" max="1800" width="15.5" style="158" bestFit="1" customWidth="1"/>
    <col min="1801" max="1802" width="15.83203125" style="158" bestFit="1" customWidth="1"/>
    <col min="1803" max="1803" width="14" style="158" bestFit="1" customWidth="1"/>
    <col min="1804" max="1804" width="14.1640625" style="158" bestFit="1" customWidth="1"/>
    <col min="1805" max="1805" width="17.5" style="158" bestFit="1" customWidth="1"/>
    <col min="1806" max="1806" width="15.83203125" style="158" bestFit="1" customWidth="1"/>
    <col min="1807" max="1807" width="17.5" style="158" bestFit="1" customWidth="1"/>
    <col min="1808" max="1808" width="9.33203125" style="158" customWidth="1"/>
    <col min="1809" max="1809" width="16.6640625" style="158" customWidth="1"/>
    <col min="1810" max="2048" width="9.33203125" style="158" customWidth="1"/>
    <col min="2049" max="2049" width="14.83203125" style="158" customWidth="1"/>
    <col min="2050" max="2050" width="9.33203125" style="158" customWidth="1"/>
    <col min="2051" max="2051" width="20" style="158" customWidth="1"/>
    <col min="2052" max="2052" width="5.6640625" style="158" customWidth="1"/>
    <col min="2053" max="2053" width="18" style="158" bestFit="1" customWidth="1"/>
    <col min="2054" max="2054" width="19.1640625" style="158" bestFit="1" customWidth="1"/>
    <col min="2055" max="2055" width="2" style="158" customWidth="1"/>
    <col min="2056" max="2056" width="15.5" style="158" bestFit="1" customWidth="1"/>
    <col min="2057" max="2058" width="15.83203125" style="158" bestFit="1" customWidth="1"/>
    <col min="2059" max="2059" width="14" style="158" bestFit="1" customWidth="1"/>
    <col min="2060" max="2060" width="14.1640625" style="158" bestFit="1" customWidth="1"/>
    <col min="2061" max="2061" width="17.5" style="158" bestFit="1" customWidth="1"/>
    <col min="2062" max="2062" width="15.83203125" style="158" bestFit="1" customWidth="1"/>
    <col min="2063" max="2063" width="17.5" style="158" bestFit="1" customWidth="1"/>
    <col min="2064" max="2064" width="9.33203125" style="158" customWidth="1"/>
    <col min="2065" max="2065" width="16.6640625" style="158" customWidth="1"/>
    <col min="2066" max="2304" width="9.33203125" style="158" customWidth="1"/>
    <col min="2305" max="2305" width="14.83203125" style="158" customWidth="1"/>
    <col min="2306" max="2306" width="9.33203125" style="158" customWidth="1"/>
    <col min="2307" max="2307" width="20" style="158" customWidth="1"/>
    <col min="2308" max="2308" width="5.6640625" style="158" customWidth="1"/>
    <col min="2309" max="2309" width="18" style="158" bestFit="1" customWidth="1"/>
    <col min="2310" max="2310" width="19.1640625" style="158" bestFit="1" customWidth="1"/>
    <col min="2311" max="2311" width="2" style="158" customWidth="1"/>
    <col min="2312" max="2312" width="15.5" style="158" bestFit="1" customWidth="1"/>
    <col min="2313" max="2314" width="15.83203125" style="158" bestFit="1" customWidth="1"/>
    <col min="2315" max="2315" width="14" style="158" bestFit="1" customWidth="1"/>
    <col min="2316" max="2316" width="14.1640625" style="158" bestFit="1" customWidth="1"/>
    <col min="2317" max="2317" width="17.5" style="158" bestFit="1" customWidth="1"/>
    <col min="2318" max="2318" width="15.83203125" style="158" bestFit="1" customWidth="1"/>
    <col min="2319" max="2319" width="17.5" style="158" bestFit="1" customWidth="1"/>
    <col min="2320" max="2320" width="9.33203125" style="158" customWidth="1"/>
    <col min="2321" max="2321" width="16.6640625" style="158" customWidth="1"/>
    <col min="2322" max="2560" width="9.33203125" style="158" customWidth="1"/>
    <col min="2561" max="2561" width="14.83203125" style="158" customWidth="1"/>
    <col min="2562" max="2562" width="9.33203125" style="158" customWidth="1"/>
    <col min="2563" max="2563" width="20" style="158" customWidth="1"/>
    <col min="2564" max="2564" width="5.6640625" style="158" customWidth="1"/>
    <col min="2565" max="2565" width="18" style="158" bestFit="1" customWidth="1"/>
    <col min="2566" max="2566" width="19.1640625" style="158" bestFit="1" customWidth="1"/>
    <col min="2567" max="2567" width="2" style="158" customWidth="1"/>
    <col min="2568" max="2568" width="15.5" style="158" bestFit="1" customWidth="1"/>
    <col min="2569" max="2570" width="15.83203125" style="158" bestFit="1" customWidth="1"/>
    <col min="2571" max="2571" width="14" style="158" bestFit="1" customWidth="1"/>
    <col min="2572" max="2572" width="14.1640625" style="158" bestFit="1" customWidth="1"/>
    <col min="2573" max="2573" width="17.5" style="158" bestFit="1" customWidth="1"/>
    <col min="2574" max="2574" width="15.83203125" style="158" bestFit="1" customWidth="1"/>
    <col min="2575" max="2575" width="17.5" style="158" bestFit="1" customWidth="1"/>
    <col min="2576" max="2576" width="9.33203125" style="158" customWidth="1"/>
    <col min="2577" max="2577" width="16.6640625" style="158" customWidth="1"/>
    <col min="2578" max="2816" width="9.33203125" style="158" customWidth="1"/>
    <col min="2817" max="2817" width="14.83203125" style="158" customWidth="1"/>
    <col min="2818" max="2818" width="9.33203125" style="158" customWidth="1"/>
    <col min="2819" max="2819" width="20" style="158" customWidth="1"/>
    <col min="2820" max="2820" width="5.6640625" style="158" customWidth="1"/>
    <col min="2821" max="2821" width="18" style="158" bestFit="1" customWidth="1"/>
    <col min="2822" max="2822" width="19.1640625" style="158" bestFit="1" customWidth="1"/>
    <col min="2823" max="2823" width="2" style="158" customWidth="1"/>
    <col min="2824" max="2824" width="15.5" style="158" bestFit="1" customWidth="1"/>
    <col min="2825" max="2826" width="15.83203125" style="158" bestFit="1" customWidth="1"/>
    <col min="2827" max="2827" width="14" style="158" bestFit="1" customWidth="1"/>
    <col min="2828" max="2828" width="14.1640625" style="158" bestFit="1" customWidth="1"/>
    <col min="2829" max="2829" width="17.5" style="158" bestFit="1" customWidth="1"/>
    <col min="2830" max="2830" width="15.83203125" style="158" bestFit="1" customWidth="1"/>
    <col min="2831" max="2831" width="17.5" style="158" bestFit="1" customWidth="1"/>
    <col min="2832" max="2832" width="9.33203125" style="158" customWidth="1"/>
    <col min="2833" max="2833" width="16.6640625" style="158" customWidth="1"/>
    <col min="2834" max="3072" width="9.33203125" style="158" customWidth="1"/>
    <col min="3073" max="3073" width="14.83203125" style="158" customWidth="1"/>
    <col min="3074" max="3074" width="9.33203125" style="158" customWidth="1"/>
    <col min="3075" max="3075" width="20" style="158" customWidth="1"/>
    <col min="3076" max="3076" width="5.6640625" style="158" customWidth="1"/>
    <col min="3077" max="3077" width="18" style="158" bestFit="1" customWidth="1"/>
    <col min="3078" max="3078" width="19.1640625" style="158" bestFit="1" customWidth="1"/>
    <col min="3079" max="3079" width="2" style="158" customWidth="1"/>
    <col min="3080" max="3080" width="15.5" style="158" bestFit="1" customWidth="1"/>
    <col min="3081" max="3082" width="15.83203125" style="158" bestFit="1" customWidth="1"/>
    <col min="3083" max="3083" width="14" style="158" bestFit="1" customWidth="1"/>
    <col min="3084" max="3084" width="14.1640625" style="158" bestFit="1" customWidth="1"/>
    <col min="3085" max="3085" width="17.5" style="158" bestFit="1" customWidth="1"/>
    <col min="3086" max="3086" width="15.83203125" style="158" bestFit="1" customWidth="1"/>
    <col min="3087" max="3087" width="17.5" style="158" bestFit="1" customWidth="1"/>
    <col min="3088" max="3088" width="9.33203125" style="158" customWidth="1"/>
    <col min="3089" max="3089" width="16.6640625" style="158" customWidth="1"/>
    <col min="3090" max="3328" width="9.33203125" style="158" customWidth="1"/>
    <col min="3329" max="3329" width="14.83203125" style="158" customWidth="1"/>
    <col min="3330" max="3330" width="9.33203125" style="158" customWidth="1"/>
    <col min="3331" max="3331" width="20" style="158" customWidth="1"/>
    <col min="3332" max="3332" width="5.6640625" style="158" customWidth="1"/>
    <col min="3333" max="3333" width="18" style="158" bestFit="1" customWidth="1"/>
    <col min="3334" max="3334" width="19.1640625" style="158" bestFit="1" customWidth="1"/>
    <col min="3335" max="3335" width="2" style="158" customWidth="1"/>
    <col min="3336" max="3336" width="15.5" style="158" bestFit="1" customWidth="1"/>
    <col min="3337" max="3338" width="15.83203125" style="158" bestFit="1" customWidth="1"/>
    <col min="3339" max="3339" width="14" style="158" bestFit="1" customWidth="1"/>
    <col min="3340" max="3340" width="14.1640625" style="158" bestFit="1" customWidth="1"/>
    <col min="3341" max="3341" width="17.5" style="158" bestFit="1" customWidth="1"/>
    <col min="3342" max="3342" width="15.83203125" style="158" bestFit="1" customWidth="1"/>
    <col min="3343" max="3343" width="17.5" style="158" bestFit="1" customWidth="1"/>
    <col min="3344" max="3344" width="9.33203125" style="158" customWidth="1"/>
    <col min="3345" max="3345" width="16.6640625" style="158" customWidth="1"/>
    <col min="3346" max="3584" width="9.33203125" style="158" customWidth="1"/>
    <col min="3585" max="3585" width="14.83203125" style="158" customWidth="1"/>
    <col min="3586" max="3586" width="9.33203125" style="158" customWidth="1"/>
    <col min="3587" max="3587" width="20" style="158" customWidth="1"/>
    <col min="3588" max="3588" width="5.6640625" style="158" customWidth="1"/>
    <col min="3589" max="3589" width="18" style="158" bestFit="1" customWidth="1"/>
    <col min="3590" max="3590" width="19.1640625" style="158" bestFit="1" customWidth="1"/>
    <col min="3591" max="3591" width="2" style="158" customWidth="1"/>
    <col min="3592" max="3592" width="15.5" style="158" bestFit="1" customWidth="1"/>
    <col min="3593" max="3594" width="15.83203125" style="158" bestFit="1" customWidth="1"/>
    <col min="3595" max="3595" width="14" style="158" bestFit="1" customWidth="1"/>
    <col min="3596" max="3596" width="14.1640625" style="158" bestFit="1" customWidth="1"/>
    <col min="3597" max="3597" width="17.5" style="158" bestFit="1" customWidth="1"/>
    <col min="3598" max="3598" width="15.83203125" style="158" bestFit="1" customWidth="1"/>
    <col min="3599" max="3599" width="17.5" style="158" bestFit="1" customWidth="1"/>
    <col min="3600" max="3600" width="9.33203125" style="158" customWidth="1"/>
    <col min="3601" max="3601" width="16.6640625" style="158" customWidth="1"/>
    <col min="3602" max="3840" width="9.33203125" style="158" customWidth="1"/>
    <col min="3841" max="3841" width="14.83203125" style="158" customWidth="1"/>
    <col min="3842" max="3842" width="9.33203125" style="158" customWidth="1"/>
    <col min="3843" max="3843" width="20" style="158" customWidth="1"/>
    <col min="3844" max="3844" width="5.6640625" style="158" customWidth="1"/>
    <col min="3845" max="3845" width="18" style="158" bestFit="1" customWidth="1"/>
    <col min="3846" max="3846" width="19.1640625" style="158" bestFit="1" customWidth="1"/>
    <col min="3847" max="3847" width="2" style="158" customWidth="1"/>
    <col min="3848" max="3848" width="15.5" style="158" bestFit="1" customWidth="1"/>
    <col min="3849" max="3850" width="15.83203125" style="158" bestFit="1" customWidth="1"/>
    <col min="3851" max="3851" width="14" style="158" bestFit="1" customWidth="1"/>
    <col min="3852" max="3852" width="14.1640625" style="158" bestFit="1" customWidth="1"/>
    <col min="3853" max="3853" width="17.5" style="158" bestFit="1" customWidth="1"/>
    <col min="3854" max="3854" width="15.83203125" style="158" bestFit="1" customWidth="1"/>
    <col min="3855" max="3855" width="17.5" style="158" bestFit="1" customWidth="1"/>
    <col min="3856" max="3856" width="9.33203125" style="158" customWidth="1"/>
    <col min="3857" max="3857" width="16.6640625" style="158" customWidth="1"/>
    <col min="3858" max="4096" width="9.33203125" style="158" customWidth="1"/>
    <col min="4097" max="4097" width="14.83203125" style="158" customWidth="1"/>
    <col min="4098" max="4098" width="9.33203125" style="158" customWidth="1"/>
    <col min="4099" max="4099" width="20" style="158" customWidth="1"/>
    <col min="4100" max="4100" width="5.6640625" style="158" customWidth="1"/>
    <col min="4101" max="4101" width="18" style="158" bestFit="1" customWidth="1"/>
    <col min="4102" max="4102" width="19.1640625" style="158" bestFit="1" customWidth="1"/>
    <col min="4103" max="4103" width="2" style="158" customWidth="1"/>
    <col min="4104" max="4104" width="15.5" style="158" bestFit="1" customWidth="1"/>
    <col min="4105" max="4106" width="15.83203125" style="158" bestFit="1" customWidth="1"/>
    <col min="4107" max="4107" width="14" style="158" bestFit="1" customWidth="1"/>
    <col min="4108" max="4108" width="14.1640625" style="158" bestFit="1" customWidth="1"/>
    <col min="4109" max="4109" width="17.5" style="158" bestFit="1" customWidth="1"/>
    <col min="4110" max="4110" width="15.83203125" style="158" bestFit="1" customWidth="1"/>
    <col min="4111" max="4111" width="17.5" style="158" bestFit="1" customWidth="1"/>
    <col min="4112" max="4112" width="9.33203125" style="158" customWidth="1"/>
    <col min="4113" max="4113" width="16.6640625" style="158" customWidth="1"/>
    <col min="4114" max="4352" width="9.33203125" style="158" customWidth="1"/>
    <col min="4353" max="4353" width="14.83203125" style="158" customWidth="1"/>
    <col min="4354" max="4354" width="9.33203125" style="158" customWidth="1"/>
    <col min="4355" max="4355" width="20" style="158" customWidth="1"/>
    <col min="4356" max="4356" width="5.6640625" style="158" customWidth="1"/>
    <col min="4357" max="4357" width="18" style="158" bestFit="1" customWidth="1"/>
    <col min="4358" max="4358" width="19.1640625" style="158" bestFit="1" customWidth="1"/>
    <col min="4359" max="4359" width="2" style="158" customWidth="1"/>
    <col min="4360" max="4360" width="15.5" style="158" bestFit="1" customWidth="1"/>
    <col min="4361" max="4362" width="15.83203125" style="158" bestFit="1" customWidth="1"/>
    <col min="4363" max="4363" width="14" style="158" bestFit="1" customWidth="1"/>
    <col min="4364" max="4364" width="14.1640625" style="158" bestFit="1" customWidth="1"/>
    <col min="4365" max="4365" width="17.5" style="158" bestFit="1" customWidth="1"/>
    <col min="4366" max="4366" width="15.83203125" style="158" bestFit="1" customWidth="1"/>
    <col min="4367" max="4367" width="17.5" style="158" bestFit="1" customWidth="1"/>
    <col min="4368" max="4368" width="9.33203125" style="158" customWidth="1"/>
    <col min="4369" max="4369" width="16.6640625" style="158" customWidth="1"/>
    <col min="4370" max="4608" width="9.33203125" style="158" customWidth="1"/>
    <col min="4609" max="4609" width="14.83203125" style="158" customWidth="1"/>
    <col min="4610" max="4610" width="9.33203125" style="158" customWidth="1"/>
    <col min="4611" max="4611" width="20" style="158" customWidth="1"/>
    <col min="4612" max="4612" width="5.6640625" style="158" customWidth="1"/>
    <col min="4613" max="4613" width="18" style="158" bestFit="1" customWidth="1"/>
    <col min="4614" max="4614" width="19.1640625" style="158" bestFit="1" customWidth="1"/>
    <col min="4615" max="4615" width="2" style="158" customWidth="1"/>
    <col min="4616" max="4616" width="15.5" style="158" bestFit="1" customWidth="1"/>
    <col min="4617" max="4618" width="15.83203125" style="158" bestFit="1" customWidth="1"/>
    <col min="4619" max="4619" width="14" style="158" bestFit="1" customWidth="1"/>
    <col min="4620" max="4620" width="14.1640625" style="158" bestFit="1" customWidth="1"/>
    <col min="4621" max="4621" width="17.5" style="158" bestFit="1" customWidth="1"/>
    <col min="4622" max="4622" width="15.83203125" style="158" bestFit="1" customWidth="1"/>
    <col min="4623" max="4623" width="17.5" style="158" bestFit="1" customWidth="1"/>
    <col min="4624" max="4624" width="9.33203125" style="158" customWidth="1"/>
    <col min="4625" max="4625" width="16.6640625" style="158" customWidth="1"/>
    <col min="4626" max="4864" width="9.33203125" style="158" customWidth="1"/>
    <col min="4865" max="4865" width="14.83203125" style="158" customWidth="1"/>
    <col min="4866" max="4866" width="9.33203125" style="158" customWidth="1"/>
    <col min="4867" max="4867" width="20" style="158" customWidth="1"/>
    <col min="4868" max="4868" width="5.6640625" style="158" customWidth="1"/>
    <col min="4869" max="4869" width="18" style="158" bestFit="1" customWidth="1"/>
    <col min="4870" max="4870" width="19.1640625" style="158" bestFit="1" customWidth="1"/>
    <col min="4871" max="4871" width="2" style="158" customWidth="1"/>
    <col min="4872" max="4872" width="15.5" style="158" bestFit="1" customWidth="1"/>
    <col min="4873" max="4874" width="15.83203125" style="158" bestFit="1" customWidth="1"/>
    <col min="4875" max="4875" width="14" style="158" bestFit="1" customWidth="1"/>
    <col min="4876" max="4876" width="14.1640625" style="158" bestFit="1" customWidth="1"/>
    <col min="4877" max="4877" width="17.5" style="158" bestFit="1" customWidth="1"/>
    <col min="4878" max="4878" width="15.83203125" style="158" bestFit="1" customWidth="1"/>
    <col min="4879" max="4879" width="17.5" style="158" bestFit="1" customWidth="1"/>
    <col min="4880" max="4880" width="9.33203125" style="158" customWidth="1"/>
    <col min="4881" max="4881" width="16.6640625" style="158" customWidth="1"/>
    <col min="4882" max="5120" width="9.33203125" style="158" customWidth="1"/>
    <col min="5121" max="5121" width="14.83203125" style="158" customWidth="1"/>
    <col min="5122" max="5122" width="9.33203125" style="158" customWidth="1"/>
    <col min="5123" max="5123" width="20" style="158" customWidth="1"/>
    <col min="5124" max="5124" width="5.6640625" style="158" customWidth="1"/>
    <col min="5125" max="5125" width="18" style="158" bestFit="1" customWidth="1"/>
    <col min="5126" max="5126" width="19.1640625" style="158" bestFit="1" customWidth="1"/>
    <col min="5127" max="5127" width="2" style="158" customWidth="1"/>
    <col min="5128" max="5128" width="15.5" style="158" bestFit="1" customWidth="1"/>
    <col min="5129" max="5130" width="15.83203125" style="158" bestFit="1" customWidth="1"/>
    <col min="5131" max="5131" width="14" style="158" bestFit="1" customWidth="1"/>
    <col min="5132" max="5132" width="14.1640625" style="158" bestFit="1" customWidth="1"/>
    <col min="5133" max="5133" width="17.5" style="158" bestFit="1" customWidth="1"/>
    <col min="5134" max="5134" width="15.83203125" style="158" bestFit="1" customWidth="1"/>
    <col min="5135" max="5135" width="17.5" style="158" bestFit="1" customWidth="1"/>
    <col min="5136" max="5136" width="9.33203125" style="158" customWidth="1"/>
    <col min="5137" max="5137" width="16.6640625" style="158" customWidth="1"/>
    <col min="5138" max="5376" width="9.33203125" style="158" customWidth="1"/>
    <col min="5377" max="5377" width="14.83203125" style="158" customWidth="1"/>
    <col min="5378" max="5378" width="9.33203125" style="158" customWidth="1"/>
    <col min="5379" max="5379" width="20" style="158" customWidth="1"/>
    <col min="5380" max="5380" width="5.6640625" style="158" customWidth="1"/>
    <col min="5381" max="5381" width="18" style="158" bestFit="1" customWidth="1"/>
    <col min="5382" max="5382" width="19.1640625" style="158" bestFit="1" customWidth="1"/>
    <col min="5383" max="5383" width="2" style="158" customWidth="1"/>
    <col min="5384" max="5384" width="15.5" style="158" bestFit="1" customWidth="1"/>
    <col min="5385" max="5386" width="15.83203125" style="158" bestFit="1" customWidth="1"/>
    <col min="5387" max="5387" width="14" style="158" bestFit="1" customWidth="1"/>
    <col min="5388" max="5388" width="14.1640625" style="158" bestFit="1" customWidth="1"/>
    <col min="5389" max="5389" width="17.5" style="158" bestFit="1" customWidth="1"/>
    <col min="5390" max="5390" width="15.83203125" style="158" bestFit="1" customWidth="1"/>
    <col min="5391" max="5391" width="17.5" style="158" bestFit="1" customWidth="1"/>
    <col min="5392" max="5392" width="9.33203125" style="158" customWidth="1"/>
    <col min="5393" max="5393" width="16.6640625" style="158" customWidth="1"/>
    <col min="5394" max="5632" width="9.33203125" style="158" customWidth="1"/>
    <col min="5633" max="5633" width="14.83203125" style="158" customWidth="1"/>
    <col min="5634" max="5634" width="9.33203125" style="158" customWidth="1"/>
    <col min="5635" max="5635" width="20" style="158" customWidth="1"/>
    <col min="5636" max="5636" width="5.6640625" style="158" customWidth="1"/>
    <col min="5637" max="5637" width="18" style="158" bestFit="1" customWidth="1"/>
    <col min="5638" max="5638" width="19.1640625" style="158" bestFit="1" customWidth="1"/>
    <col min="5639" max="5639" width="2" style="158" customWidth="1"/>
    <col min="5640" max="5640" width="15.5" style="158" bestFit="1" customWidth="1"/>
    <col min="5641" max="5642" width="15.83203125" style="158" bestFit="1" customWidth="1"/>
    <col min="5643" max="5643" width="14" style="158" bestFit="1" customWidth="1"/>
    <col min="5644" max="5644" width="14.1640625" style="158" bestFit="1" customWidth="1"/>
    <col min="5645" max="5645" width="17.5" style="158" bestFit="1" customWidth="1"/>
    <col min="5646" max="5646" width="15.83203125" style="158" bestFit="1" customWidth="1"/>
    <col min="5647" max="5647" width="17.5" style="158" bestFit="1" customWidth="1"/>
    <col min="5648" max="5648" width="9.33203125" style="158" customWidth="1"/>
    <col min="5649" max="5649" width="16.6640625" style="158" customWidth="1"/>
    <col min="5650" max="5888" width="9.33203125" style="158" customWidth="1"/>
    <col min="5889" max="5889" width="14.83203125" style="158" customWidth="1"/>
    <col min="5890" max="5890" width="9.33203125" style="158" customWidth="1"/>
    <col min="5891" max="5891" width="20" style="158" customWidth="1"/>
    <col min="5892" max="5892" width="5.6640625" style="158" customWidth="1"/>
    <col min="5893" max="5893" width="18" style="158" bestFit="1" customWidth="1"/>
    <col min="5894" max="5894" width="19.1640625" style="158" bestFit="1" customWidth="1"/>
    <col min="5895" max="5895" width="2" style="158" customWidth="1"/>
    <col min="5896" max="5896" width="15.5" style="158" bestFit="1" customWidth="1"/>
    <col min="5897" max="5898" width="15.83203125" style="158" bestFit="1" customWidth="1"/>
    <col min="5899" max="5899" width="14" style="158" bestFit="1" customWidth="1"/>
    <col min="5900" max="5900" width="14.1640625" style="158" bestFit="1" customWidth="1"/>
    <col min="5901" max="5901" width="17.5" style="158" bestFit="1" customWidth="1"/>
    <col min="5902" max="5902" width="15.83203125" style="158" bestFit="1" customWidth="1"/>
    <col min="5903" max="5903" width="17.5" style="158" bestFit="1" customWidth="1"/>
    <col min="5904" max="5904" width="9.33203125" style="158" customWidth="1"/>
    <col min="5905" max="5905" width="16.6640625" style="158" customWidth="1"/>
    <col min="5906" max="6144" width="9.33203125" style="158" customWidth="1"/>
    <col min="6145" max="6145" width="14.83203125" style="158" customWidth="1"/>
    <col min="6146" max="6146" width="9.33203125" style="158" customWidth="1"/>
    <col min="6147" max="6147" width="20" style="158" customWidth="1"/>
    <col min="6148" max="6148" width="5.6640625" style="158" customWidth="1"/>
    <col min="6149" max="6149" width="18" style="158" bestFit="1" customWidth="1"/>
    <col min="6150" max="6150" width="19.1640625" style="158" bestFit="1" customWidth="1"/>
    <col min="6151" max="6151" width="2" style="158" customWidth="1"/>
    <col min="6152" max="6152" width="15.5" style="158" bestFit="1" customWidth="1"/>
    <col min="6153" max="6154" width="15.83203125" style="158" bestFit="1" customWidth="1"/>
    <col min="6155" max="6155" width="14" style="158" bestFit="1" customWidth="1"/>
    <col min="6156" max="6156" width="14.1640625" style="158" bestFit="1" customWidth="1"/>
    <col min="6157" max="6157" width="17.5" style="158" bestFit="1" customWidth="1"/>
    <col min="6158" max="6158" width="15.83203125" style="158" bestFit="1" customWidth="1"/>
    <col min="6159" max="6159" width="17.5" style="158" bestFit="1" customWidth="1"/>
    <col min="6160" max="6160" width="9.33203125" style="158" customWidth="1"/>
    <col min="6161" max="6161" width="16.6640625" style="158" customWidth="1"/>
    <col min="6162" max="6400" width="9.33203125" style="158" customWidth="1"/>
    <col min="6401" max="6401" width="14.83203125" style="158" customWidth="1"/>
    <col min="6402" max="6402" width="9.33203125" style="158" customWidth="1"/>
    <col min="6403" max="6403" width="20" style="158" customWidth="1"/>
    <col min="6404" max="6404" width="5.6640625" style="158" customWidth="1"/>
    <col min="6405" max="6405" width="18" style="158" bestFit="1" customWidth="1"/>
    <col min="6406" max="6406" width="19.1640625" style="158" bestFit="1" customWidth="1"/>
    <col min="6407" max="6407" width="2" style="158" customWidth="1"/>
    <col min="6408" max="6408" width="15.5" style="158" bestFit="1" customWidth="1"/>
    <col min="6409" max="6410" width="15.83203125" style="158" bestFit="1" customWidth="1"/>
    <col min="6411" max="6411" width="14" style="158" bestFit="1" customWidth="1"/>
    <col min="6412" max="6412" width="14.1640625" style="158" bestFit="1" customWidth="1"/>
    <col min="6413" max="6413" width="17.5" style="158" bestFit="1" customWidth="1"/>
    <col min="6414" max="6414" width="15.83203125" style="158" bestFit="1" customWidth="1"/>
    <col min="6415" max="6415" width="17.5" style="158" bestFit="1" customWidth="1"/>
    <col min="6416" max="6416" width="9.33203125" style="158" customWidth="1"/>
    <col min="6417" max="6417" width="16.6640625" style="158" customWidth="1"/>
    <col min="6418" max="6656" width="9.33203125" style="158" customWidth="1"/>
    <col min="6657" max="6657" width="14.83203125" style="158" customWidth="1"/>
    <col min="6658" max="6658" width="9.33203125" style="158" customWidth="1"/>
    <col min="6659" max="6659" width="20" style="158" customWidth="1"/>
    <col min="6660" max="6660" width="5.6640625" style="158" customWidth="1"/>
    <col min="6661" max="6661" width="18" style="158" bestFit="1" customWidth="1"/>
    <col min="6662" max="6662" width="19.1640625" style="158" bestFit="1" customWidth="1"/>
    <col min="6663" max="6663" width="2" style="158" customWidth="1"/>
    <col min="6664" max="6664" width="15.5" style="158" bestFit="1" customWidth="1"/>
    <col min="6665" max="6666" width="15.83203125" style="158" bestFit="1" customWidth="1"/>
    <col min="6667" max="6667" width="14" style="158" bestFit="1" customWidth="1"/>
    <col min="6668" max="6668" width="14.1640625" style="158" bestFit="1" customWidth="1"/>
    <col min="6669" max="6669" width="17.5" style="158" bestFit="1" customWidth="1"/>
    <col min="6670" max="6670" width="15.83203125" style="158" bestFit="1" customWidth="1"/>
    <col min="6671" max="6671" width="17.5" style="158" bestFit="1" customWidth="1"/>
    <col min="6672" max="6672" width="9.33203125" style="158" customWidth="1"/>
    <col min="6673" max="6673" width="16.6640625" style="158" customWidth="1"/>
    <col min="6674" max="6912" width="9.33203125" style="158" customWidth="1"/>
    <col min="6913" max="6913" width="14.83203125" style="158" customWidth="1"/>
    <col min="6914" max="6914" width="9.33203125" style="158" customWidth="1"/>
    <col min="6915" max="6915" width="20" style="158" customWidth="1"/>
    <col min="6916" max="6916" width="5.6640625" style="158" customWidth="1"/>
    <col min="6917" max="6917" width="18" style="158" bestFit="1" customWidth="1"/>
    <col min="6918" max="6918" width="19.1640625" style="158" bestFit="1" customWidth="1"/>
    <col min="6919" max="6919" width="2" style="158" customWidth="1"/>
    <col min="6920" max="6920" width="15.5" style="158" bestFit="1" customWidth="1"/>
    <col min="6921" max="6922" width="15.83203125" style="158" bestFit="1" customWidth="1"/>
    <col min="6923" max="6923" width="14" style="158" bestFit="1" customWidth="1"/>
    <col min="6924" max="6924" width="14.1640625" style="158" bestFit="1" customWidth="1"/>
    <col min="6925" max="6925" width="17.5" style="158" bestFit="1" customWidth="1"/>
    <col min="6926" max="6926" width="15.83203125" style="158" bestFit="1" customWidth="1"/>
    <col min="6927" max="6927" width="17.5" style="158" bestFit="1" customWidth="1"/>
    <col min="6928" max="6928" width="9.33203125" style="158" customWidth="1"/>
    <col min="6929" max="6929" width="16.6640625" style="158" customWidth="1"/>
    <col min="6930" max="7168" width="9.33203125" style="158" customWidth="1"/>
    <col min="7169" max="7169" width="14.83203125" style="158" customWidth="1"/>
    <col min="7170" max="7170" width="9.33203125" style="158" customWidth="1"/>
    <col min="7171" max="7171" width="20" style="158" customWidth="1"/>
    <col min="7172" max="7172" width="5.6640625" style="158" customWidth="1"/>
    <col min="7173" max="7173" width="18" style="158" bestFit="1" customWidth="1"/>
    <col min="7174" max="7174" width="19.1640625" style="158" bestFit="1" customWidth="1"/>
    <col min="7175" max="7175" width="2" style="158" customWidth="1"/>
    <col min="7176" max="7176" width="15.5" style="158" bestFit="1" customWidth="1"/>
    <col min="7177" max="7178" width="15.83203125" style="158" bestFit="1" customWidth="1"/>
    <col min="7179" max="7179" width="14" style="158" bestFit="1" customWidth="1"/>
    <col min="7180" max="7180" width="14.1640625" style="158" bestFit="1" customWidth="1"/>
    <col min="7181" max="7181" width="17.5" style="158" bestFit="1" customWidth="1"/>
    <col min="7182" max="7182" width="15.83203125" style="158" bestFit="1" customWidth="1"/>
    <col min="7183" max="7183" width="17.5" style="158" bestFit="1" customWidth="1"/>
    <col min="7184" max="7184" width="9.33203125" style="158" customWidth="1"/>
    <col min="7185" max="7185" width="16.6640625" style="158" customWidth="1"/>
    <col min="7186" max="7424" width="9.33203125" style="158" customWidth="1"/>
    <col min="7425" max="7425" width="14.83203125" style="158" customWidth="1"/>
    <col min="7426" max="7426" width="9.33203125" style="158" customWidth="1"/>
    <col min="7427" max="7427" width="20" style="158" customWidth="1"/>
    <col min="7428" max="7428" width="5.6640625" style="158" customWidth="1"/>
    <col min="7429" max="7429" width="18" style="158" bestFit="1" customWidth="1"/>
    <col min="7430" max="7430" width="19.1640625" style="158" bestFit="1" customWidth="1"/>
    <col min="7431" max="7431" width="2" style="158" customWidth="1"/>
    <col min="7432" max="7432" width="15.5" style="158" bestFit="1" customWidth="1"/>
    <col min="7433" max="7434" width="15.83203125" style="158" bestFit="1" customWidth="1"/>
    <col min="7435" max="7435" width="14" style="158" bestFit="1" customWidth="1"/>
    <col min="7436" max="7436" width="14.1640625" style="158" bestFit="1" customWidth="1"/>
    <col min="7437" max="7437" width="17.5" style="158" bestFit="1" customWidth="1"/>
    <col min="7438" max="7438" width="15.83203125" style="158" bestFit="1" customWidth="1"/>
    <col min="7439" max="7439" width="17.5" style="158" bestFit="1" customWidth="1"/>
    <col min="7440" max="7440" width="9.33203125" style="158" customWidth="1"/>
    <col min="7441" max="7441" width="16.6640625" style="158" customWidth="1"/>
    <col min="7442" max="7680" width="9.33203125" style="158" customWidth="1"/>
    <col min="7681" max="7681" width="14.83203125" style="158" customWidth="1"/>
    <col min="7682" max="7682" width="9.33203125" style="158" customWidth="1"/>
    <col min="7683" max="7683" width="20" style="158" customWidth="1"/>
    <col min="7684" max="7684" width="5.6640625" style="158" customWidth="1"/>
    <col min="7685" max="7685" width="18" style="158" bestFit="1" customWidth="1"/>
    <col min="7686" max="7686" width="19.1640625" style="158" bestFit="1" customWidth="1"/>
    <col min="7687" max="7687" width="2" style="158" customWidth="1"/>
    <col min="7688" max="7688" width="15.5" style="158" bestFit="1" customWidth="1"/>
    <col min="7689" max="7690" width="15.83203125" style="158" bestFit="1" customWidth="1"/>
    <col min="7691" max="7691" width="14" style="158" bestFit="1" customWidth="1"/>
    <col min="7692" max="7692" width="14.1640625" style="158" bestFit="1" customWidth="1"/>
    <col min="7693" max="7693" width="17.5" style="158" bestFit="1" customWidth="1"/>
    <col min="7694" max="7694" width="15.83203125" style="158" bestFit="1" customWidth="1"/>
    <col min="7695" max="7695" width="17.5" style="158" bestFit="1" customWidth="1"/>
    <col min="7696" max="7696" width="9.33203125" style="158" customWidth="1"/>
    <col min="7697" max="7697" width="16.6640625" style="158" customWidth="1"/>
    <col min="7698" max="7936" width="9.33203125" style="158" customWidth="1"/>
    <col min="7937" max="7937" width="14.83203125" style="158" customWidth="1"/>
    <col min="7938" max="7938" width="9.33203125" style="158" customWidth="1"/>
    <col min="7939" max="7939" width="20" style="158" customWidth="1"/>
    <col min="7940" max="7940" width="5.6640625" style="158" customWidth="1"/>
    <col min="7941" max="7941" width="18" style="158" bestFit="1" customWidth="1"/>
    <col min="7942" max="7942" width="19.1640625" style="158" bestFit="1" customWidth="1"/>
    <col min="7943" max="7943" width="2" style="158" customWidth="1"/>
    <col min="7944" max="7944" width="15.5" style="158" bestFit="1" customWidth="1"/>
    <col min="7945" max="7946" width="15.83203125" style="158" bestFit="1" customWidth="1"/>
    <col min="7947" max="7947" width="14" style="158" bestFit="1" customWidth="1"/>
    <col min="7948" max="7948" width="14.1640625" style="158" bestFit="1" customWidth="1"/>
    <col min="7949" max="7949" width="17.5" style="158" bestFit="1" customWidth="1"/>
    <col min="7950" max="7950" width="15.83203125" style="158" bestFit="1" customWidth="1"/>
    <col min="7951" max="7951" width="17.5" style="158" bestFit="1" customWidth="1"/>
    <col min="7952" max="7952" width="9.33203125" style="158" customWidth="1"/>
    <col min="7953" max="7953" width="16.6640625" style="158" customWidth="1"/>
    <col min="7954" max="8192" width="9.33203125" style="158" customWidth="1"/>
    <col min="8193" max="8193" width="14.83203125" style="158" customWidth="1"/>
    <col min="8194" max="8194" width="9.33203125" style="158" customWidth="1"/>
    <col min="8195" max="8195" width="20" style="158" customWidth="1"/>
    <col min="8196" max="8196" width="5.6640625" style="158" customWidth="1"/>
    <col min="8197" max="8197" width="18" style="158" bestFit="1" customWidth="1"/>
    <col min="8198" max="8198" width="19.1640625" style="158" bestFit="1" customWidth="1"/>
    <col min="8199" max="8199" width="2" style="158" customWidth="1"/>
    <col min="8200" max="8200" width="15.5" style="158" bestFit="1" customWidth="1"/>
    <col min="8201" max="8202" width="15.83203125" style="158" bestFit="1" customWidth="1"/>
    <col min="8203" max="8203" width="14" style="158" bestFit="1" customWidth="1"/>
    <col min="8204" max="8204" width="14.1640625" style="158" bestFit="1" customWidth="1"/>
    <col min="8205" max="8205" width="17.5" style="158" bestFit="1" customWidth="1"/>
    <col min="8206" max="8206" width="15.83203125" style="158" bestFit="1" customWidth="1"/>
    <col min="8207" max="8207" width="17.5" style="158" bestFit="1" customWidth="1"/>
    <col min="8208" max="8208" width="9.33203125" style="158" customWidth="1"/>
    <col min="8209" max="8209" width="16.6640625" style="158" customWidth="1"/>
    <col min="8210" max="8448" width="9.33203125" style="158" customWidth="1"/>
    <col min="8449" max="8449" width="14.83203125" style="158" customWidth="1"/>
    <col min="8450" max="8450" width="9.33203125" style="158" customWidth="1"/>
    <col min="8451" max="8451" width="20" style="158" customWidth="1"/>
    <col min="8452" max="8452" width="5.6640625" style="158" customWidth="1"/>
    <col min="8453" max="8453" width="18" style="158" bestFit="1" customWidth="1"/>
    <col min="8454" max="8454" width="19.1640625" style="158" bestFit="1" customWidth="1"/>
    <col min="8455" max="8455" width="2" style="158" customWidth="1"/>
    <col min="8456" max="8456" width="15.5" style="158" bestFit="1" customWidth="1"/>
    <col min="8457" max="8458" width="15.83203125" style="158" bestFit="1" customWidth="1"/>
    <col min="8459" max="8459" width="14" style="158" bestFit="1" customWidth="1"/>
    <col min="8460" max="8460" width="14.1640625" style="158" bestFit="1" customWidth="1"/>
    <col min="8461" max="8461" width="17.5" style="158" bestFit="1" customWidth="1"/>
    <col min="8462" max="8462" width="15.83203125" style="158" bestFit="1" customWidth="1"/>
    <col min="8463" max="8463" width="17.5" style="158" bestFit="1" customWidth="1"/>
    <col min="8464" max="8464" width="9.33203125" style="158" customWidth="1"/>
    <col min="8465" max="8465" width="16.6640625" style="158" customWidth="1"/>
    <col min="8466" max="8704" width="9.33203125" style="158" customWidth="1"/>
    <col min="8705" max="8705" width="14.83203125" style="158" customWidth="1"/>
    <col min="8706" max="8706" width="9.33203125" style="158" customWidth="1"/>
    <col min="8707" max="8707" width="20" style="158" customWidth="1"/>
    <col min="8708" max="8708" width="5.6640625" style="158" customWidth="1"/>
    <col min="8709" max="8709" width="18" style="158" bestFit="1" customWidth="1"/>
    <col min="8710" max="8710" width="19.1640625" style="158" bestFit="1" customWidth="1"/>
    <col min="8711" max="8711" width="2" style="158" customWidth="1"/>
    <col min="8712" max="8712" width="15.5" style="158" bestFit="1" customWidth="1"/>
    <col min="8713" max="8714" width="15.83203125" style="158" bestFit="1" customWidth="1"/>
    <col min="8715" max="8715" width="14" style="158" bestFit="1" customWidth="1"/>
    <col min="8716" max="8716" width="14.1640625" style="158" bestFit="1" customWidth="1"/>
    <col min="8717" max="8717" width="17.5" style="158" bestFit="1" customWidth="1"/>
    <col min="8718" max="8718" width="15.83203125" style="158" bestFit="1" customWidth="1"/>
    <col min="8719" max="8719" width="17.5" style="158" bestFit="1" customWidth="1"/>
    <col min="8720" max="8720" width="9.33203125" style="158" customWidth="1"/>
    <col min="8721" max="8721" width="16.6640625" style="158" customWidth="1"/>
    <col min="8722" max="8960" width="9.33203125" style="158" customWidth="1"/>
    <col min="8961" max="8961" width="14.83203125" style="158" customWidth="1"/>
    <col min="8962" max="8962" width="9.33203125" style="158" customWidth="1"/>
    <col min="8963" max="8963" width="20" style="158" customWidth="1"/>
    <col min="8964" max="8964" width="5.6640625" style="158" customWidth="1"/>
    <col min="8965" max="8965" width="18" style="158" bestFit="1" customWidth="1"/>
    <col min="8966" max="8966" width="19.1640625" style="158" bestFit="1" customWidth="1"/>
    <col min="8967" max="8967" width="2" style="158" customWidth="1"/>
    <col min="8968" max="8968" width="15.5" style="158" bestFit="1" customWidth="1"/>
    <col min="8969" max="8970" width="15.83203125" style="158" bestFit="1" customWidth="1"/>
    <col min="8971" max="8971" width="14" style="158" bestFit="1" customWidth="1"/>
    <col min="8972" max="8972" width="14.1640625" style="158" bestFit="1" customWidth="1"/>
    <col min="8973" max="8973" width="17.5" style="158" bestFit="1" customWidth="1"/>
    <col min="8974" max="8974" width="15.83203125" style="158" bestFit="1" customWidth="1"/>
    <col min="8975" max="8975" width="17.5" style="158" bestFit="1" customWidth="1"/>
    <col min="8976" max="8976" width="9.33203125" style="158" customWidth="1"/>
    <col min="8977" max="8977" width="16.6640625" style="158" customWidth="1"/>
    <col min="8978" max="9216" width="9.33203125" style="158" customWidth="1"/>
    <col min="9217" max="9217" width="14.83203125" style="158" customWidth="1"/>
    <col min="9218" max="9218" width="9.33203125" style="158" customWidth="1"/>
    <col min="9219" max="9219" width="20" style="158" customWidth="1"/>
    <col min="9220" max="9220" width="5.6640625" style="158" customWidth="1"/>
    <col min="9221" max="9221" width="18" style="158" bestFit="1" customWidth="1"/>
    <col min="9222" max="9222" width="19.1640625" style="158" bestFit="1" customWidth="1"/>
    <col min="9223" max="9223" width="2" style="158" customWidth="1"/>
    <col min="9224" max="9224" width="15.5" style="158" bestFit="1" customWidth="1"/>
    <col min="9225" max="9226" width="15.83203125" style="158" bestFit="1" customWidth="1"/>
    <col min="9227" max="9227" width="14" style="158" bestFit="1" customWidth="1"/>
    <col min="9228" max="9228" width="14.1640625" style="158" bestFit="1" customWidth="1"/>
    <col min="9229" max="9229" width="17.5" style="158" bestFit="1" customWidth="1"/>
    <col min="9230" max="9230" width="15.83203125" style="158" bestFit="1" customWidth="1"/>
    <col min="9231" max="9231" width="17.5" style="158" bestFit="1" customWidth="1"/>
    <col min="9232" max="9232" width="9.33203125" style="158" customWidth="1"/>
    <col min="9233" max="9233" width="16.6640625" style="158" customWidth="1"/>
    <col min="9234" max="9472" width="9.33203125" style="158" customWidth="1"/>
    <col min="9473" max="9473" width="14.83203125" style="158" customWidth="1"/>
    <col min="9474" max="9474" width="9.33203125" style="158" customWidth="1"/>
    <col min="9475" max="9475" width="20" style="158" customWidth="1"/>
    <col min="9476" max="9476" width="5.6640625" style="158" customWidth="1"/>
    <col min="9477" max="9477" width="18" style="158" bestFit="1" customWidth="1"/>
    <col min="9478" max="9478" width="19.1640625" style="158" bestFit="1" customWidth="1"/>
    <col min="9479" max="9479" width="2" style="158" customWidth="1"/>
    <col min="9480" max="9480" width="15.5" style="158" bestFit="1" customWidth="1"/>
    <col min="9481" max="9482" width="15.83203125" style="158" bestFit="1" customWidth="1"/>
    <col min="9483" max="9483" width="14" style="158" bestFit="1" customWidth="1"/>
    <col min="9484" max="9484" width="14.1640625" style="158" bestFit="1" customWidth="1"/>
    <col min="9485" max="9485" width="17.5" style="158" bestFit="1" customWidth="1"/>
    <col min="9486" max="9486" width="15.83203125" style="158" bestFit="1" customWidth="1"/>
    <col min="9487" max="9487" width="17.5" style="158" bestFit="1" customWidth="1"/>
    <col min="9488" max="9488" width="9.33203125" style="158" customWidth="1"/>
    <col min="9489" max="9489" width="16.6640625" style="158" customWidth="1"/>
    <col min="9490" max="9728" width="9.33203125" style="158" customWidth="1"/>
    <col min="9729" max="9729" width="14.83203125" style="158" customWidth="1"/>
    <col min="9730" max="9730" width="9.33203125" style="158" customWidth="1"/>
    <col min="9731" max="9731" width="20" style="158" customWidth="1"/>
    <col min="9732" max="9732" width="5.6640625" style="158" customWidth="1"/>
    <col min="9733" max="9733" width="18" style="158" bestFit="1" customWidth="1"/>
    <col min="9734" max="9734" width="19.1640625" style="158" bestFit="1" customWidth="1"/>
    <col min="9735" max="9735" width="2" style="158" customWidth="1"/>
    <col min="9736" max="9736" width="15.5" style="158" bestFit="1" customWidth="1"/>
    <col min="9737" max="9738" width="15.83203125" style="158" bestFit="1" customWidth="1"/>
    <col min="9739" max="9739" width="14" style="158" bestFit="1" customWidth="1"/>
    <col min="9740" max="9740" width="14.1640625" style="158" bestFit="1" customWidth="1"/>
    <col min="9741" max="9741" width="17.5" style="158" bestFit="1" customWidth="1"/>
    <col min="9742" max="9742" width="15.83203125" style="158" bestFit="1" customWidth="1"/>
    <col min="9743" max="9743" width="17.5" style="158" bestFit="1" customWidth="1"/>
    <col min="9744" max="9744" width="9.33203125" style="158" customWidth="1"/>
    <col min="9745" max="9745" width="16.6640625" style="158" customWidth="1"/>
    <col min="9746" max="9984" width="9.33203125" style="158" customWidth="1"/>
    <col min="9985" max="9985" width="14.83203125" style="158" customWidth="1"/>
    <col min="9986" max="9986" width="9.33203125" style="158" customWidth="1"/>
    <col min="9987" max="9987" width="20" style="158" customWidth="1"/>
    <col min="9988" max="9988" width="5.6640625" style="158" customWidth="1"/>
    <col min="9989" max="9989" width="18" style="158" bestFit="1" customWidth="1"/>
    <col min="9990" max="9990" width="19.1640625" style="158" bestFit="1" customWidth="1"/>
    <col min="9991" max="9991" width="2" style="158" customWidth="1"/>
    <col min="9992" max="9992" width="15.5" style="158" bestFit="1" customWidth="1"/>
    <col min="9993" max="9994" width="15.83203125" style="158" bestFit="1" customWidth="1"/>
    <col min="9995" max="9995" width="14" style="158" bestFit="1" customWidth="1"/>
    <col min="9996" max="9996" width="14.1640625" style="158" bestFit="1" customWidth="1"/>
    <col min="9997" max="9997" width="17.5" style="158" bestFit="1" customWidth="1"/>
    <col min="9998" max="9998" width="15.83203125" style="158" bestFit="1" customWidth="1"/>
    <col min="9999" max="9999" width="17.5" style="158" bestFit="1" customWidth="1"/>
    <col min="10000" max="10000" width="9.33203125" style="158" customWidth="1"/>
    <col min="10001" max="10001" width="16.6640625" style="158" customWidth="1"/>
    <col min="10002" max="10240" width="9.33203125" style="158" customWidth="1"/>
    <col min="10241" max="10241" width="14.83203125" style="158" customWidth="1"/>
    <col min="10242" max="10242" width="9.33203125" style="158" customWidth="1"/>
    <col min="10243" max="10243" width="20" style="158" customWidth="1"/>
    <col min="10244" max="10244" width="5.6640625" style="158" customWidth="1"/>
    <col min="10245" max="10245" width="18" style="158" bestFit="1" customWidth="1"/>
    <col min="10246" max="10246" width="19.1640625" style="158" bestFit="1" customWidth="1"/>
    <col min="10247" max="10247" width="2" style="158" customWidth="1"/>
    <col min="10248" max="10248" width="15.5" style="158" bestFit="1" customWidth="1"/>
    <col min="10249" max="10250" width="15.83203125" style="158" bestFit="1" customWidth="1"/>
    <col min="10251" max="10251" width="14" style="158" bestFit="1" customWidth="1"/>
    <col min="10252" max="10252" width="14.1640625" style="158" bestFit="1" customWidth="1"/>
    <col min="10253" max="10253" width="17.5" style="158" bestFit="1" customWidth="1"/>
    <col min="10254" max="10254" width="15.83203125" style="158" bestFit="1" customWidth="1"/>
    <col min="10255" max="10255" width="17.5" style="158" bestFit="1" customWidth="1"/>
    <col min="10256" max="10256" width="9.33203125" style="158" customWidth="1"/>
    <col min="10257" max="10257" width="16.6640625" style="158" customWidth="1"/>
    <col min="10258" max="10496" width="9.33203125" style="158" customWidth="1"/>
    <col min="10497" max="10497" width="14.83203125" style="158" customWidth="1"/>
    <col min="10498" max="10498" width="9.33203125" style="158" customWidth="1"/>
    <col min="10499" max="10499" width="20" style="158" customWidth="1"/>
    <col min="10500" max="10500" width="5.6640625" style="158" customWidth="1"/>
    <col min="10501" max="10501" width="18" style="158" bestFit="1" customWidth="1"/>
    <col min="10502" max="10502" width="19.1640625" style="158" bestFit="1" customWidth="1"/>
    <col min="10503" max="10503" width="2" style="158" customWidth="1"/>
    <col min="10504" max="10504" width="15.5" style="158" bestFit="1" customWidth="1"/>
    <col min="10505" max="10506" width="15.83203125" style="158" bestFit="1" customWidth="1"/>
    <col min="10507" max="10507" width="14" style="158" bestFit="1" customWidth="1"/>
    <col min="10508" max="10508" width="14.1640625" style="158" bestFit="1" customWidth="1"/>
    <col min="10509" max="10509" width="17.5" style="158" bestFit="1" customWidth="1"/>
    <col min="10510" max="10510" width="15.83203125" style="158" bestFit="1" customWidth="1"/>
    <col min="10511" max="10511" width="17.5" style="158" bestFit="1" customWidth="1"/>
    <col min="10512" max="10512" width="9.33203125" style="158" customWidth="1"/>
    <col min="10513" max="10513" width="16.6640625" style="158" customWidth="1"/>
    <col min="10514" max="10752" width="9.33203125" style="158" customWidth="1"/>
    <col min="10753" max="10753" width="14.83203125" style="158" customWidth="1"/>
    <col min="10754" max="10754" width="9.33203125" style="158" customWidth="1"/>
    <col min="10755" max="10755" width="20" style="158" customWidth="1"/>
    <col min="10756" max="10756" width="5.6640625" style="158" customWidth="1"/>
    <col min="10757" max="10757" width="18" style="158" bestFit="1" customWidth="1"/>
    <col min="10758" max="10758" width="19.1640625" style="158" bestFit="1" customWidth="1"/>
    <col min="10759" max="10759" width="2" style="158" customWidth="1"/>
    <col min="10760" max="10760" width="15.5" style="158" bestFit="1" customWidth="1"/>
    <col min="10761" max="10762" width="15.83203125" style="158" bestFit="1" customWidth="1"/>
    <col min="10763" max="10763" width="14" style="158" bestFit="1" customWidth="1"/>
    <col min="10764" max="10764" width="14.1640625" style="158" bestFit="1" customWidth="1"/>
    <col min="10765" max="10765" width="17.5" style="158" bestFit="1" customWidth="1"/>
    <col min="10766" max="10766" width="15.83203125" style="158" bestFit="1" customWidth="1"/>
    <col min="10767" max="10767" width="17.5" style="158" bestFit="1" customWidth="1"/>
    <col min="10768" max="10768" width="9.33203125" style="158" customWidth="1"/>
    <col min="10769" max="10769" width="16.6640625" style="158" customWidth="1"/>
    <col min="10770" max="11008" width="9.33203125" style="158" customWidth="1"/>
    <col min="11009" max="11009" width="14.83203125" style="158" customWidth="1"/>
    <col min="11010" max="11010" width="9.33203125" style="158" customWidth="1"/>
    <col min="11011" max="11011" width="20" style="158" customWidth="1"/>
    <col min="11012" max="11012" width="5.6640625" style="158" customWidth="1"/>
    <col min="11013" max="11013" width="18" style="158" bestFit="1" customWidth="1"/>
    <col min="11014" max="11014" width="19.1640625" style="158" bestFit="1" customWidth="1"/>
    <col min="11015" max="11015" width="2" style="158" customWidth="1"/>
    <col min="11016" max="11016" width="15.5" style="158" bestFit="1" customWidth="1"/>
    <col min="11017" max="11018" width="15.83203125" style="158" bestFit="1" customWidth="1"/>
    <col min="11019" max="11019" width="14" style="158" bestFit="1" customWidth="1"/>
    <col min="11020" max="11020" width="14.1640625" style="158" bestFit="1" customWidth="1"/>
    <col min="11021" max="11021" width="17.5" style="158" bestFit="1" customWidth="1"/>
    <col min="11022" max="11022" width="15.83203125" style="158" bestFit="1" customWidth="1"/>
    <col min="11023" max="11023" width="17.5" style="158" bestFit="1" customWidth="1"/>
    <col min="11024" max="11024" width="9.33203125" style="158" customWidth="1"/>
    <col min="11025" max="11025" width="16.6640625" style="158" customWidth="1"/>
    <col min="11026" max="11264" width="9.33203125" style="158" customWidth="1"/>
    <col min="11265" max="11265" width="14.83203125" style="158" customWidth="1"/>
    <col min="11266" max="11266" width="9.33203125" style="158" customWidth="1"/>
    <col min="11267" max="11267" width="20" style="158" customWidth="1"/>
    <col min="11268" max="11268" width="5.6640625" style="158" customWidth="1"/>
    <col min="11269" max="11269" width="18" style="158" bestFit="1" customWidth="1"/>
    <col min="11270" max="11270" width="19.1640625" style="158" bestFit="1" customWidth="1"/>
    <col min="11271" max="11271" width="2" style="158" customWidth="1"/>
    <col min="11272" max="11272" width="15.5" style="158" bestFit="1" customWidth="1"/>
    <col min="11273" max="11274" width="15.83203125" style="158" bestFit="1" customWidth="1"/>
    <col min="11275" max="11275" width="14" style="158" bestFit="1" customWidth="1"/>
    <col min="11276" max="11276" width="14.1640625" style="158" bestFit="1" customWidth="1"/>
    <col min="11277" max="11277" width="17.5" style="158" bestFit="1" customWidth="1"/>
    <col min="11278" max="11278" width="15.83203125" style="158" bestFit="1" customWidth="1"/>
    <col min="11279" max="11279" width="17.5" style="158" bestFit="1" customWidth="1"/>
    <col min="11280" max="11280" width="9.33203125" style="158" customWidth="1"/>
    <col min="11281" max="11281" width="16.6640625" style="158" customWidth="1"/>
    <col min="11282" max="11520" width="9.33203125" style="158" customWidth="1"/>
    <col min="11521" max="11521" width="14.83203125" style="158" customWidth="1"/>
    <col min="11522" max="11522" width="9.33203125" style="158" customWidth="1"/>
    <col min="11523" max="11523" width="20" style="158" customWidth="1"/>
    <col min="11524" max="11524" width="5.6640625" style="158" customWidth="1"/>
    <col min="11525" max="11525" width="18" style="158" bestFit="1" customWidth="1"/>
    <col min="11526" max="11526" width="19.1640625" style="158" bestFit="1" customWidth="1"/>
    <col min="11527" max="11527" width="2" style="158" customWidth="1"/>
    <col min="11528" max="11528" width="15.5" style="158" bestFit="1" customWidth="1"/>
    <col min="11529" max="11530" width="15.83203125" style="158" bestFit="1" customWidth="1"/>
    <col min="11531" max="11531" width="14" style="158" bestFit="1" customWidth="1"/>
    <col min="11532" max="11532" width="14.1640625" style="158" bestFit="1" customWidth="1"/>
    <col min="11533" max="11533" width="17.5" style="158" bestFit="1" customWidth="1"/>
    <col min="11534" max="11534" width="15.83203125" style="158" bestFit="1" customWidth="1"/>
    <col min="11535" max="11535" width="17.5" style="158" bestFit="1" customWidth="1"/>
    <col min="11536" max="11536" width="9.33203125" style="158" customWidth="1"/>
    <col min="11537" max="11537" width="16.6640625" style="158" customWidth="1"/>
    <col min="11538" max="11776" width="9.33203125" style="158" customWidth="1"/>
    <col min="11777" max="11777" width="14.83203125" style="158" customWidth="1"/>
    <col min="11778" max="11778" width="9.33203125" style="158" customWidth="1"/>
    <col min="11779" max="11779" width="20" style="158" customWidth="1"/>
    <col min="11780" max="11780" width="5.6640625" style="158" customWidth="1"/>
    <col min="11781" max="11781" width="18" style="158" bestFit="1" customWidth="1"/>
    <col min="11782" max="11782" width="19.1640625" style="158" bestFit="1" customWidth="1"/>
    <col min="11783" max="11783" width="2" style="158" customWidth="1"/>
    <col min="11784" max="11784" width="15.5" style="158" bestFit="1" customWidth="1"/>
    <col min="11785" max="11786" width="15.83203125" style="158" bestFit="1" customWidth="1"/>
    <col min="11787" max="11787" width="14" style="158" bestFit="1" customWidth="1"/>
    <col min="11788" max="11788" width="14.1640625" style="158" bestFit="1" customWidth="1"/>
    <col min="11789" max="11789" width="17.5" style="158" bestFit="1" customWidth="1"/>
    <col min="11790" max="11790" width="15.83203125" style="158" bestFit="1" customWidth="1"/>
    <col min="11791" max="11791" width="17.5" style="158" bestFit="1" customWidth="1"/>
    <col min="11792" max="11792" width="9.33203125" style="158" customWidth="1"/>
    <col min="11793" max="11793" width="16.6640625" style="158" customWidth="1"/>
    <col min="11794" max="12032" width="9.33203125" style="158" customWidth="1"/>
    <col min="12033" max="12033" width="14.83203125" style="158" customWidth="1"/>
    <col min="12034" max="12034" width="9.33203125" style="158" customWidth="1"/>
    <col min="12035" max="12035" width="20" style="158" customWidth="1"/>
    <col min="12036" max="12036" width="5.6640625" style="158" customWidth="1"/>
    <col min="12037" max="12037" width="18" style="158" bestFit="1" customWidth="1"/>
    <col min="12038" max="12038" width="19.1640625" style="158" bestFit="1" customWidth="1"/>
    <col min="12039" max="12039" width="2" style="158" customWidth="1"/>
    <col min="12040" max="12040" width="15.5" style="158" bestFit="1" customWidth="1"/>
    <col min="12041" max="12042" width="15.83203125" style="158" bestFit="1" customWidth="1"/>
    <col min="12043" max="12043" width="14" style="158" bestFit="1" customWidth="1"/>
    <col min="12044" max="12044" width="14.1640625" style="158" bestFit="1" customWidth="1"/>
    <col min="12045" max="12045" width="17.5" style="158" bestFit="1" customWidth="1"/>
    <col min="12046" max="12046" width="15.83203125" style="158" bestFit="1" customWidth="1"/>
    <col min="12047" max="12047" width="17.5" style="158" bestFit="1" customWidth="1"/>
    <col min="12048" max="12048" width="9.33203125" style="158" customWidth="1"/>
    <col min="12049" max="12049" width="16.6640625" style="158" customWidth="1"/>
    <col min="12050" max="12288" width="9.33203125" style="158" customWidth="1"/>
    <col min="12289" max="12289" width="14.83203125" style="158" customWidth="1"/>
    <col min="12290" max="12290" width="9.33203125" style="158" customWidth="1"/>
    <col min="12291" max="12291" width="20" style="158" customWidth="1"/>
    <col min="12292" max="12292" width="5.6640625" style="158" customWidth="1"/>
    <col min="12293" max="12293" width="18" style="158" bestFit="1" customWidth="1"/>
    <col min="12294" max="12294" width="19.1640625" style="158" bestFit="1" customWidth="1"/>
    <col min="12295" max="12295" width="2" style="158" customWidth="1"/>
    <col min="12296" max="12296" width="15.5" style="158" bestFit="1" customWidth="1"/>
    <col min="12297" max="12298" width="15.83203125" style="158" bestFit="1" customWidth="1"/>
    <col min="12299" max="12299" width="14" style="158" bestFit="1" customWidth="1"/>
    <col min="12300" max="12300" width="14.1640625" style="158" bestFit="1" customWidth="1"/>
    <col min="12301" max="12301" width="17.5" style="158" bestFit="1" customWidth="1"/>
    <col min="12302" max="12302" width="15.83203125" style="158" bestFit="1" customWidth="1"/>
    <col min="12303" max="12303" width="17.5" style="158" bestFit="1" customWidth="1"/>
    <col min="12304" max="12304" width="9.33203125" style="158" customWidth="1"/>
    <col min="12305" max="12305" width="16.6640625" style="158" customWidth="1"/>
    <col min="12306" max="12544" width="9.33203125" style="158" customWidth="1"/>
    <col min="12545" max="12545" width="14.83203125" style="158" customWidth="1"/>
    <col min="12546" max="12546" width="9.33203125" style="158" customWidth="1"/>
    <col min="12547" max="12547" width="20" style="158" customWidth="1"/>
    <col min="12548" max="12548" width="5.6640625" style="158" customWidth="1"/>
    <col min="12549" max="12549" width="18" style="158" bestFit="1" customWidth="1"/>
    <col min="12550" max="12550" width="19.1640625" style="158" bestFit="1" customWidth="1"/>
    <col min="12551" max="12551" width="2" style="158" customWidth="1"/>
    <col min="12552" max="12552" width="15.5" style="158" bestFit="1" customWidth="1"/>
    <col min="12553" max="12554" width="15.83203125" style="158" bestFit="1" customWidth="1"/>
    <col min="12555" max="12555" width="14" style="158" bestFit="1" customWidth="1"/>
    <col min="12556" max="12556" width="14.1640625" style="158" bestFit="1" customWidth="1"/>
    <col min="12557" max="12557" width="17.5" style="158" bestFit="1" customWidth="1"/>
    <col min="12558" max="12558" width="15.83203125" style="158" bestFit="1" customWidth="1"/>
    <col min="12559" max="12559" width="17.5" style="158" bestFit="1" customWidth="1"/>
    <col min="12560" max="12560" width="9.33203125" style="158" customWidth="1"/>
    <col min="12561" max="12561" width="16.6640625" style="158" customWidth="1"/>
    <col min="12562" max="12800" width="9.33203125" style="158" customWidth="1"/>
    <col min="12801" max="12801" width="14.83203125" style="158" customWidth="1"/>
    <col min="12802" max="12802" width="9.33203125" style="158" customWidth="1"/>
    <col min="12803" max="12803" width="20" style="158" customWidth="1"/>
    <col min="12804" max="12804" width="5.6640625" style="158" customWidth="1"/>
    <col min="12805" max="12805" width="18" style="158" bestFit="1" customWidth="1"/>
    <col min="12806" max="12806" width="19.1640625" style="158" bestFit="1" customWidth="1"/>
    <col min="12807" max="12807" width="2" style="158" customWidth="1"/>
    <col min="12808" max="12808" width="15.5" style="158" bestFit="1" customWidth="1"/>
    <col min="12809" max="12810" width="15.83203125" style="158" bestFit="1" customWidth="1"/>
    <col min="12811" max="12811" width="14" style="158" bestFit="1" customWidth="1"/>
    <col min="12812" max="12812" width="14.1640625" style="158" bestFit="1" customWidth="1"/>
    <col min="12813" max="12813" width="17.5" style="158" bestFit="1" customWidth="1"/>
    <col min="12814" max="12814" width="15.83203125" style="158" bestFit="1" customWidth="1"/>
    <col min="12815" max="12815" width="17.5" style="158" bestFit="1" customWidth="1"/>
    <col min="12816" max="12816" width="9.33203125" style="158" customWidth="1"/>
    <col min="12817" max="12817" width="16.6640625" style="158" customWidth="1"/>
    <col min="12818" max="13056" width="9.33203125" style="158" customWidth="1"/>
    <col min="13057" max="13057" width="14.83203125" style="158" customWidth="1"/>
    <col min="13058" max="13058" width="9.33203125" style="158" customWidth="1"/>
    <col min="13059" max="13059" width="20" style="158" customWidth="1"/>
    <col min="13060" max="13060" width="5.6640625" style="158" customWidth="1"/>
    <col min="13061" max="13061" width="18" style="158" bestFit="1" customWidth="1"/>
    <col min="13062" max="13062" width="19.1640625" style="158" bestFit="1" customWidth="1"/>
    <col min="13063" max="13063" width="2" style="158" customWidth="1"/>
    <col min="13064" max="13064" width="15.5" style="158" bestFit="1" customWidth="1"/>
    <col min="13065" max="13066" width="15.83203125" style="158" bestFit="1" customWidth="1"/>
    <col min="13067" max="13067" width="14" style="158" bestFit="1" customWidth="1"/>
    <col min="13068" max="13068" width="14.1640625" style="158" bestFit="1" customWidth="1"/>
    <col min="13069" max="13069" width="17.5" style="158" bestFit="1" customWidth="1"/>
    <col min="13070" max="13070" width="15.83203125" style="158" bestFit="1" customWidth="1"/>
    <col min="13071" max="13071" width="17.5" style="158" bestFit="1" customWidth="1"/>
    <col min="13072" max="13072" width="9.33203125" style="158" customWidth="1"/>
    <col min="13073" max="13073" width="16.6640625" style="158" customWidth="1"/>
    <col min="13074" max="13312" width="9.33203125" style="158" customWidth="1"/>
    <col min="13313" max="13313" width="14.83203125" style="158" customWidth="1"/>
    <col min="13314" max="13314" width="9.33203125" style="158" customWidth="1"/>
    <col min="13315" max="13315" width="20" style="158" customWidth="1"/>
    <col min="13316" max="13316" width="5.6640625" style="158" customWidth="1"/>
    <col min="13317" max="13317" width="18" style="158" bestFit="1" customWidth="1"/>
    <col min="13318" max="13318" width="19.1640625" style="158" bestFit="1" customWidth="1"/>
    <col min="13319" max="13319" width="2" style="158" customWidth="1"/>
    <col min="13320" max="13320" width="15.5" style="158" bestFit="1" customWidth="1"/>
    <col min="13321" max="13322" width="15.83203125" style="158" bestFit="1" customWidth="1"/>
    <col min="13323" max="13323" width="14" style="158" bestFit="1" customWidth="1"/>
    <col min="13324" max="13324" width="14.1640625" style="158" bestFit="1" customWidth="1"/>
    <col min="13325" max="13325" width="17.5" style="158" bestFit="1" customWidth="1"/>
    <col min="13326" max="13326" width="15.83203125" style="158" bestFit="1" customWidth="1"/>
    <col min="13327" max="13327" width="17.5" style="158" bestFit="1" customWidth="1"/>
    <col min="13328" max="13328" width="9.33203125" style="158" customWidth="1"/>
    <col min="13329" max="13329" width="16.6640625" style="158" customWidth="1"/>
    <col min="13330" max="13568" width="9.33203125" style="158" customWidth="1"/>
    <col min="13569" max="13569" width="14.83203125" style="158" customWidth="1"/>
    <col min="13570" max="13570" width="9.33203125" style="158" customWidth="1"/>
    <col min="13571" max="13571" width="20" style="158" customWidth="1"/>
    <col min="13572" max="13572" width="5.6640625" style="158" customWidth="1"/>
    <col min="13573" max="13573" width="18" style="158" bestFit="1" customWidth="1"/>
    <col min="13574" max="13574" width="19.1640625" style="158" bestFit="1" customWidth="1"/>
    <col min="13575" max="13575" width="2" style="158" customWidth="1"/>
    <col min="13576" max="13576" width="15.5" style="158" bestFit="1" customWidth="1"/>
    <col min="13577" max="13578" width="15.83203125" style="158" bestFit="1" customWidth="1"/>
    <col min="13579" max="13579" width="14" style="158" bestFit="1" customWidth="1"/>
    <col min="13580" max="13580" width="14.1640625" style="158" bestFit="1" customWidth="1"/>
    <col min="13581" max="13581" width="17.5" style="158" bestFit="1" customWidth="1"/>
    <col min="13582" max="13582" width="15.83203125" style="158" bestFit="1" customWidth="1"/>
    <col min="13583" max="13583" width="17.5" style="158" bestFit="1" customWidth="1"/>
    <col min="13584" max="13584" width="9.33203125" style="158" customWidth="1"/>
    <col min="13585" max="13585" width="16.6640625" style="158" customWidth="1"/>
    <col min="13586" max="13824" width="9.33203125" style="158" customWidth="1"/>
    <col min="13825" max="13825" width="14.83203125" style="158" customWidth="1"/>
    <col min="13826" max="13826" width="9.33203125" style="158" customWidth="1"/>
    <col min="13827" max="13827" width="20" style="158" customWidth="1"/>
    <col min="13828" max="13828" width="5.6640625" style="158" customWidth="1"/>
    <col min="13829" max="13829" width="18" style="158" bestFit="1" customWidth="1"/>
    <col min="13830" max="13830" width="19.1640625" style="158" bestFit="1" customWidth="1"/>
    <col min="13831" max="13831" width="2" style="158" customWidth="1"/>
    <col min="13832" max="13832" width="15.5" style="158" bestFit="1" customWidth="1"/>
    <col min="13833" max="13834" width="15.83203125" style="158" bestFit="1" customWidth="1"/>
    <col min="13835" max="13835" width="14" style="158" bestFit="1" customWidth="1"/>
    <col min="13836" max="13836" width="14.1640625" style="158" bestFit="1" customWidth="1"/>
    <col min="13837" max="13837" width="17.5" style="158" bestFit="1" customWidth="1"/>
    <col min="13838" max="13838" width="15.83203125" style="158" bestFit="1" customWidth="1"/>
    <col min="13839" max="13839" width="17.5" style="158" bestFit="1" customWidth="1"/>
    <col min="13840" max="13840" width="9.33203125" style="158" customWidth="1"/>
    <col min="13841" max="13841" width="16.6640625" style="158" customWidth="1"/>
    <col min="13842" max="14080" width="9.33203125" style="158" customWidth="1"/>
    <col min="14081" max="14081" width="14.83203125" style="158" customWidth="1"/>
    <col min="14082" max="14082" width="9.33203125" style="158" customWidth="1"/>
    <col min="14083" max="14083" width="20" style="158" customWidth="1"/>
    <col min="14084" max="14084" width="5.6640625" style="158" customWidth="1"/>
    <col min="14085" max="14085" width="18" style="158" bestFit="1" customWidth="1"/>
    <col min="14086" max="14086" width="19.1640625" style="158" bestFit="1" customWidth="1"/>
    <col min="14087" max="14087" width="2" style="158" customWidth="1"/>
    <col min="14088" max="14088" width="15.5" style="158" bestFit="1" customWidth="1"/>
    <col min="14089" max="14090" width="15.83203125" style="158" bestFit="1" customWidth="1"/>
    <col min="14091" max="14091" width="14" style="158" bestFit="1" customWidth="1"/>
    <col min="14092" max="14092" width="14.1640625" style="158" bestFit="1" customWidth="1"/>
    <col min="14093" max="14093" width="17.5" style="158" bestFit="1" customWidth="1"/>
    <col min="14094" max="14094" width="15.83203125" style="158" bestFit="1" customWidth="1"/>
    <col min="14095" max="14095" width="17.5" style="158" bestFit="1" customWidth="1"/>
    <col min="14096" max="14096" width="9.33203125" style="158" customWidth="1"/>
    <col min="14097" max="14097" width="16.6640625" style="158" customWidth="1"/>
    <col min="14098" max="14336" width="9.33203125" style="158" customWidth="1"/>
    <col min="14337" max="14337" width="14.83203125" style="158" customWidth="1"/>
    <col min="14338" max="14338" width="9.33203125" style="158" customWidth="1"/>
    <col min="14339" max="14339" width="20" style="158" customWidth="1"/>
    <col min="14340" max="14340" width="5.6640625" style="158" customWidth="1"/>
    <col min="14341" max="14341" width="18" style="158" bestFit="1" customWidth="1"/>
    <col min="14342" max="14342" width="19.1640625" style="158" bestFit="1" customWidth="1"/>
    <col min="14343" max="14343" width="2" style="158" customWidth="1"/>
    <col min="14344" max="14344" width="15.5" style="158" bestFit="1" customWidth="1"/>
    <col min="14345" max="14346" width="15.83203125" style="158" bestFit="1" customWidth="1"/>
    <col min="14347" max="14347" width="14" style="158" bestFit="1" customWidth="1"/>
    <col min="14348" max="14348" width="14.1640625" style="158" bestFit="1" customWidth="1"/>
    <col min="14349" max="14349" width="17.5" style="158" bestFit="1" customWidth="1"/>
    <col min="14350" max="14350" width="15.83203125" style="158" bestFit="1" customWidth="1"/>
    <col min="14351" max="14351" width="17.5" style="158" bestFit="1" customWidth="1"/>
    <col min="14352" max="14352" width="9.33203125" style="158" customWidth="1"/>
    <col min="14353" max="14353" width="16.6640625" style="158" customWidth="1"/>
    <col min="14354" max="14592" width="9.33203125" style="158" customWidth="1"/>
    <col min="14593" max="14593" width="14.83203125" style="158" customWidth="1"/>
    <col min="14594" max="14594" width="9.33203125" style="158" customWidth="1"/>
    <col min="14595" max="14595" width="20" style="158" customWidth="1"/>
    <col min="14596" max="14596" width="5.6640625" style="158" customWidth="1"/>
    <col min="14597" max="14597" width="18" style="158" bestFit="1" customWidth="1"/>
    <col min="14598" max="14598" width="19.1640625" style="158" bestFit="1" customWidth="1"/>
    <col min="14599" max="14599" width="2" style="158" customWidth="1"/>
    <col min="14600" max="14600" width="15.5" style="158" bestFit="1" customWidth="1"/>
    <col min="14601" max="14602" width="15.83203125" style="158" bestFit="1" customWidth="1"/>
    <col min="14603" max="14603" width="14" style="158" bestFit="1" customWidth="1"/>
    <col min="14604" max="14604" width="14.1640625" style="158" bestFit="1" customWidth="1"/>
    <col min="14605" max="14605" width="17.5" style="158" bestFit="1" customWidth="1"/>
    <col min="14606" max="14606" width="15.83203125" style="158" bestFit="1" customWidth="1"/>
    <col min="14607" max="14607" width="17.5" style="158" bestFit="1" customWidth="1"/>
    <col min="14608" max="14608" width="9.33203125" style="158" customWidth="1"/>
    <col min="14609" max="14609" width="16.6640625" style="158" customWidth="1"/>
    <col min="14610" max="14848" width="9.33203125" style="158" customWidth="1"/>
    <col min="14849" max="14849" width="14.83203125" style="158" customWidth="1"/>
    <col min="14850" max="14850" width="9.33203125" style="158" customWidth="1"/>
    <col min="14851" max="14851" width="20" style="158" customWidth="1"/>
    <col min="14852" max="14852" width="5.6640625" style="158" customWidth="1"/>
    <col min="14853" max="14853" width="18" style="158" bestFit="1" customWidth="1"/>
    <col min="14854" max="14854" width="19.1640625" style="158" bestFit="1" customWidth="1"/>
    <col min="14855" max="14855" width="2" style="158" customWidth="1"/>
    <col min="14856" max="14856" width="15.5" style="158" bestFit="1" customWidth="1"/>
    <col min="14857" max="14858" width="15.83203125" style="158" bestFit="1" customWidth="1"/>
    <col min="14859" max="14859" width="14" style="158" bestFit="1" customWidth="1"/>
    <col min="14860" max="14860" width="14.1640625" style="158" bestFit="1" customWidth="1"/>
    <col min="14861" max="14861" width="17.5" style="158" bestFit="1" customWidth="1"/>
    <col min="14862" max="14862" width="15.83203125" style="158" bestFit="1" customWidth="1"/>
    <col min="14863" max="14863" width="17.5" style="158" bestFit="1" customWidth="1"/>
    <col min="14864" max="14864" width="9.33203125" style="158" customWidth="1"/>
    <col min="14865" max="14865" width="16.6640625" style="158" customWidth="1"/>
    <col min="14866" max="15104" width="9.33203125" style="158" customWidth="1"/>
    <col min="15105" max="15105" width="14.83203125" style="158" customWidth="1"/>
    <col min="15106" max="15106" width="9.33203125" style="158" customWidth="1"/>
    <col min="15107" max="15107" width="20" style="158" customWidth="1"/>
    <col min="15108" max="15108" width="5.6640625" style="158" customWidth="1"/>
    <col min="15109" max="15109" width="18" style="158" bestFit="1" customWidth="1"/>
    <col min="15110" max="15110" width="19.1640625" style="158" bestFit="1" customWidth="1"/>
    <col min="15111" max="15111" width="2" style="158" customWidth="1"/>
    <col min="15112" max="15112" width="15.5" style="158" bestFit="1" customWidth="1"/>
    <col min="15113" max="15114" width="15.83203125" style="158" bestFit="1" customWidth="1"/>
    <col min="15115" max="15115" width="14" style="158" bestFit="1" customWidth="1"/>
    <col min="15116" max="15116" width="14.1640625" style="158" bestFit="1" customWidth="1"/>
    <col min="15117" max="15117" width="17.5" style="158" bestFit="1" customWidth="1"/>
    <col min="15118" max="15118" width="15.83203125" style="158" bestFit="1" customWidth="1"/>
    <col min="15119" max="15119" width="17.5" style="158" bestFit="1" customWidth="1"/>
    <col min="15120" max="15120" width="9.33203125" style="158" customWidth="1"/>
    <col min="15121" max="15121" width="16.6640625" style="158" customWidth="1"/>
    <col min="15122" max="15360" width="9.33203125" style="158" customWidth="1"/>
    <col min="15361" max="15361" width="14.83203125" style="158" customWidth="1"/>
    <col min="15362" max="15362" width="9.33203125" style="158" customWidth="1"/>
    <col min="15363" max="15363" width="20" style="158" customWidth="1"/>
    <col min="15364" max="15364" width="5.6640625" style="158" customWidth="1"/>
    <col min="15365" max="15365" width="18" style="158" bestFit="1" customWidth="1"/>
    <col min="15366" max="15366" width="19.1640625" style="158" bestFit="1" customWidth="1"/>
    <col min="15367" max="15367" width="2" style="158" customWidth="1"/>
    <col min="15368" max="15368" width="15.5" style="158" bestFit="1" customWidth="1"/>
    <col min="15369" max="15370" width="15.83203125" style="158" bestFit="1" customWidth="1"/>
    <col min="15371" max="15371" width="14" style="158" bestFit="1" customWidth="1"/>
    <col min="15372" max="15372" width="14.1640625" style="158" bestFit="1" customWidth="1"/>
    <col min="15373" max="15373" width="17.5" style="158" bestFit="1" customWidth="1"/>
    <col min="15374" max="15374" width="15.83203125" style="158" bestFit="1" customWidth="1"/>
    <col min="15375" max="15375" width="17.5" style="158" bestFit="1" customWidth="1"/>
    <col min="15376" max="15376" width="9.33203125" style="158" customWidth="1"/>
    <col min="15377" max="15377" width="16.6640625" style="158" customWidth="1"/>
    <col min="15378" max="15616" width="9.33203125" style="158" customWidth="1"/>
    <col min="15617" max="15617" width="14.83203125" style="158" customWidth="1"/>
    <col min="15618" max="15618" width="9.33203125" style="158" customWidth="1"/>
    <col min="15619" max="15619" width="20" style="158" customWidth="1"/>
    <col min="15620" max="15620" width="5.6640625" style="158" customWidth="1"/>
    <col min="15621" max="15621" width="18" style="158" bestFit="1" customWidth="1"/>
    <col min="15622" max="15622" width="19.1640625" style="158" bestFit="1" customWidth="1"/>
    <col min="15623" max="15623" width="2" style="158" customWidth="1"/>
    <col min="15624" max="15624" width="15.5" style="158" bestFit="1" customWidth="1"/>
    <col min="15625" max="15626" width="15.83203125" style="158" bestFit="1" customWidth="1"/>
    <col min="15627" max="15627" width="14" style="158" bestFit="1" customWidth="1"/>
    <col min="15628" max="15628" width="14.1640625" style="158" bestFit="1" customWidth="1"/>
    <col min="15629" max="15629" width="17.5" style="158" bestFit="1" customWidth="1"/>
    <col min="15630" max="15630" width="15.83203125" style="158" bestFit="1" customWidth="1"/>
    <col min="15631" max="15631" width="17.5" style="158" bestFit="1" customWidth="1"/>
    <col min="15632" max="15632" width="9.33203125" style="158" customWidth="1"/>
    <col min="15633" max="15633" width="16.6640625" style="158" customWidth="1"/>
    <col min="15634" max="15872" width="9.33203125" style="158" customWidth="1"/>
    <col min="15873" max="15873" width="14.83203125" style="158" customWidth="1"/>
    <col min="15874" max="15874" width="9.33203125" style="158" customWidth="1"/>
    <col min="15875" max="15875" width="20" style="158" customWidth="1"/>
    <col min="15876" max="15876" width="5.6640625" style="158" customWidth="1"/>
    <col min="15877" max="15877" width="18" style="158" bestFit="1" customWidth="1"/>
    <col min="15878" max="15878" width="19.1640625" style="158" bestFit="1" customWidth="1"/>
    <col min="15879" max="15879" width="2" style="158" customWidth="1"/>
    <col min="15880" max="15880" width="15.5" style="158" bestFit="1" customWidth="1"/>
    <col min="15881" max="15882" width="15.83203125" style="158" bestFit="1" customWidth="1"/>
    <col min="15883" max="15883" width="14" style="158" bestFit="1" customWidth="1"/>
    <col min="15884" max="15884" width="14.1640625" style="158" bestFit="1" customWidth="1"/>
    <col min="15885" max="15885" width="17.5" style="158" bestFit="1" customWidth="1"/>
    <col min="15886" max="15886" width="15.83203125" style="158" bestFit="1" customWidth="1"/>
    <col min="15887" max="15887" width="17.5" style="158" bestFit="1" customWidth="1"/>
    <col min="15888" max="15888" width="9.33203125" style="158" customWidth="1"/>
    <col min="15889" max="15889" width="16.6640625" style="158" customWidth="1"/>
    <col min="15890" max="16128" width="9.33203125" style="158" customWidth="1"/>
    <col min="16129" max="16129" width="14.83203125" style="158" customWidth="1"/>
    <col min="16130" max="16130" width="9.33203125" style="158" customWidth="1"/>
    <col min="16131" max="16131" width="20" style="158" customWidth="1"/>
    <col min="16132" max="16132" width="5.6640625" style="158" customWidth="1"/>
    <col min="16133" max="16133" width="18" style="158" bestFit="1" customWidth="1"/>
    <col min="16134" max="16134" width="19.1640625" style="158" bestFit="1" customWidth="1"/>
    <col min="16135" max="16135" width="2" style="158" customWidth="1"/>
    <col min="16136" max="16136" width="15.5" style="158" bestFit="1" customWidth="1"/>
    <col min="16137" max="16138" width="15.83203125" style="158" bestFit="1" customWidth="1"/>
    <col min="16139" max="16139" width="14" style="158" bestFit="1" customWidth="1"/>
    <col min="16140" max="16140" width="14.1640625" style="158" bestFit="1" customWidth="1"/>
    <col min="16141" max="16141" width="17.5" style="158" bestFit="1" customWidth="1"/>
    <col min="16142" max="16142" width="15.83203125" style="158" bestFit="1" customWidth="1"/>
    <col min="16143" max="16143" width="17.5" style="158" bestFit="1" customWidth="1"/>
    <col min="16144" max="16144" width="9.33203125" style="158" customWidth="1"/>
    <col min="16145" max="16145" width="16.6640625" style="158" customWidth="1"/>
    <col min="16146" max="16384" width="9.33203125" style="158" customWidth="1"/>
  </cols>
  <sheetData>
    <row r="1" spans="1:15" s="159" customFormat="1">
      <c r="A1" s="158" t="s">
        <v>131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15" s="159" customFormat="1">
      <c r="A2" s="158" t="s">
        <v>132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</row>
    <row r="4" spans="1:15" s="159" customFormat="1">
      <c r="A4" s="158" t="s">
        <v>133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s="159" customFormat="1" ht="12.75">
      <c r="A5" s="160" t="s">
        <v>134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</row>
    <row r="6" spans="1:15" s="159" customFormat="1" ht="12.75">
      <c r="A6" s="161" t="s">
        <v>135</v>
      </c>
      <c r="B6" s="161" t="s">
        <v>136</v>
      </c>
      <c r="C6" s="161" t="s">
        <v>137</v>
      </c>
      <c r="D6" s="161" t="s">
        <v>48</v>
      </c>
      <c r="E6" s="161" t="s">
        <v>138</v>
      </c>
      <c r="F6" s="161" t="s">
        <v>139</v>
      </c>
      <c r="G6" s="162" t="s">
        <v>140</v>
      </c>
      <c r="H6" s="163" t="s">
        <v>141</v>
      </c>
      <c r="I6" s="163"/>
      <c r="J6" s="163" t="s">
        <v>142</v>
      </c>
      <c r="K6" s="163"/>
      <c r="L6" s="163" t="s">
        <v>143</v>
      </c>
      <c r="M6" s="163"/>
      <c r="N6" s="163" t="s">
        <v>144</v>
      </c>
      <c r="O6" s="163"/>
    </row>
    <row r="7" spans="1:15" s="159" customFormat="1">
      <c r="A7" s="164"/>
      <c r="B7" s="164"/>
      <c r="C7" s="164"/>
      <c r="D7" s="164"/>
      <c r="E7" s="165"/>
      <c r="F7" s="165"/>
      <c r="G7" s="165"/>
      <c r="H7" s="166" t="s">
        <v>145</v>
      </c>
      <c r="I7" s="166" t="s">
        <v>146</v>
      </c>
      <c r="J7" s="166" t="s">
        <v>145</v>
      </c>
      <c r="K7" s="166" t="s">
        <v>146</v>
      </c>
      <c r="L7" s="166" t="s">
        <v>145</v>
      </c>
      <c r="M7" s="166" t="s">
        <v>146</v>
      </c>
      <c r="N7" s="166" t="s">
        <v>145</v>
      </c>
      <c r="O7" s="166" t="s">
        <v>146</v>
      </c>
    </row>
    <row r="8" spans="1:15" s="159" customFormat="1">
      <c r="A8" s="164">
        <v>7010</v>
      </c>
      <c r="B8" s="164" t="s">
        <v>147</v>
      </c>
      <c r="C8" s="164" t="s">
        <v>148</v>
      </c>
      <c r="D8" s="167"/>
      <c r="E8" s="164" t="s">
        <v>149</v>
      </c>
      <c r="F8" s="164" t="s">
        <v>150</v>
      </c>
      <c r="G8" s="164"/>
      <c r="H8" s="164" t="s">
        <v>151</v>
      </c>
      <c r="I8" s="164"/>
      <c r="J8" s="164"/>
      <c r="K8" s="164"/>
      <c r="L8" s="164"/>
      <c r="M8" s="164"/>
      <c r="N8" s="164"/>
      <c r="O8" s="164"/>
    </row>
    <row r="9" spans="1:15" s="159" customFormat="1">
      <c r="A9" s="164">
        <v>7010</v>
      </c>
      <c r="B9" s="164" t="s">
        <v>147</v>
      </c>
      <c r="C9" s="164" t="s">
        <v>152</v>
      </c>
      <c r="D9" s="167"/>
      <c r="E9" s="164"/>
      <c r="F9" s="164"/>
      <c r="G9" s="164"/>
      <c r="H9" s="164" t="s">
        <v>153</v>
      </c>
      <c r="I9" s="164" t="s">
        <v>154</v>
      </c>
      <c r="J9" s="164" t="s">
        <v>155</v>
      </c>
      <c r="K9" s="164" t="s">
        <v>156</v>
      </c>
      <c r="L9" s="164" t="s">
        <v>157</v>
      </c>
      <c r="M9" s="164" t="s">
        <v>156</v>
      </c>
      <c r="N9" s="164" t="s">
        <v>157</v>
      </c>
      <c r="O9" s="164" t="s">
        <v>156</v>
      </c>
    </row>
    <row r="10" spans="1:15" s="159" customFormat="1">
      <c r="A10" s="164">
        <v>7010</v>
      </c>
      <c r="B10" s="164" t="s">
        <v>147</v>
      </c>
      <c r="C10" s="164" t="s">
        <v>158</v>
      </c>
      <c r="D10" s="167"/>
      <c r="E10" s="164"/>
      <c r="F10" s="164"/>
      <c r="G10" s="164"/>
      <c r="H10" s="164" t="s">
        <v>153</v>
      </c>
      <c r="I10" s="164" t="s">
        <v>154</v>
      </c>
      <c r="J10" s="164" t="s">
        <v>159</v>
      </c>
      <c r="K10" s="164" t="s">
        <v>156</v>
      </c>
      <c r="L10" s="164" t="s">
        <v>159</v>
      </c>
      <c r="M10" s="164" t="s">
        <v>160</v>
      </c>
      <c r="N10" s="164" t="s">
        <v>159</v>
      </c>
      <c r="O10" s="164" t="s">
        <v>160</v>
      </c>
    </row>
    <row r="11" spans="1:15" s="159" customFormat="1">
      <c r="A11" s="164">
        <v>7010</v>
      </c>
      <c r="B11" s="164" t="s">
        <v>147</v>
      </c>
      <c r="C11" s="164" t="s">
        <v>161</v>
      </c>
      <c r="D11" s="167"/>
      <c r="E11" s="164"/>
      <c r="F11" s="164"/>
      <c r="G11" s="164"/>
      <c r="H11" s="164" t="s">
        <v>153</v>
      </c>
      <c r="I11" s="164" t="s">
        <v>154</v>
      </c>
      <c r="J11" s="164" t="s">
        <v>157</v>
      </c>
      <c r="K11" s="164" t="s">
        <v>156</v>
      </c>
      <c r="L11" s="164" t="s">
        <v>157</v>
      </c>
      <c r="M11" s="164" t="s">
        <v>156</v>
      </c>
      <c r="N11" s="164" t="s">
        <v>155</v>
      </c>
      <c r="O11" s="164" t="s">
        <v>156</v>
      </c>
    </row>
    <row r="12" spans="1:15" s="159" customFormat="1" ht="12.75" hidden="1">
      <c r="A12" s="161" t="s">
        <v>135</v>
      </c>
      <c r="B12" s="161" t="s">
        <v>162</v>
      </c>
      <c r="C12" s="161" t="s">
        <v>137</v>
      </c>
      <c r="D12" s="161" t="s">
        <v>163</v>
      </c>
      <c r="E12" s="168" t="s">
        <v>138</v>
      </c>
      <c r="F12" s="168" t="s">
        <v>139</v>
      </c>
      <c r="G12" s="168" t="s">
        <v>140</v>
      </c>
      <c r="H12" s="163" t="s">
        <v>141</v>
      </c>
      <c r="I12" s="163"/>
      <c r="J12" s="163" t="s">
        <v>142</v>
      </c>
      <c r="K12" s="163"/>
      <c r="L12" s="163" t="s">
        <v>143</v>
      </c>
      <c r="M12" s="163"/>
      <c r="N12" s="163" t="s">
        <v>144</v>
      </c>
      <c r="O12" s="163"/>
    </row>
    <row r="13" spans="1:15" s="159" customFormat="1" hidden="1">
      <c r="A13" s="164"/>
      <c r="B13" s="164"/>
      <c r="C13" s="164"/>
      <c r="D13" s="164"/>
      <c r="E13" s="164"/>
      <c r="F13" s="164"/>
      <c r="G13" s="164"/>
      <c r="H13" s="161" t="s">
        <v>145</v>
      </c>
      <c r="I13" s="161" t="s">
        <v>146</v>
      </c>
      <c r="J13" s="161" t="s">
        <v>145</v>
      </c>
      <c r="K13" s="161" t="s">
        <v>146</v>
      </c>
      <c r="L13" s="161" t="s">
        <v>145</v>
      </c>
      <c r="M13" s="161" t="s">
        <v>146</v>
      </c>
      <c r="N13" s="161" t="s">
        <v>145</v>
      </c>
      <c r="O13" s="161" t="s">
        <v>146</v>
      </c>
    </row>
    <row r="14" spans="1:15" s="159" customFormat="1" ht="11.25" hidden="1">
      <c r="A14" s="169">
        <v>7010</v>
      </c>
      <c r="B14" s="169" t="s">
        <v>147</v>
      </c>
      <c r="C14" s="169" t="s">
        <v>152</v>
      </c>
      <c r="D14" s="169">
        <v>90</v>
      </c>
      <c r="E14" s="169">
        <v>518</v>
      </c>
      <c r="F14" s="169">
        <v>533</v>
      </c>
      <c r="G14" s="169">
        <v>1051</v>
      </c>
      <c r="H14" s="169">
        <v>243</v>
      </c>
      <c r="I14" s="169">
        <v>144</v>
      </c>
      <c r="J14" s="169">
        <v>94</v>
      </c>
      <c r="K14" s="169">
        <v>190</v>
      </c>
      <c r="L14" s="169">
        <v>20</v>
      </c>
      <c r="M14" s="169">
        <v>128</v>
      </c>
      <c r="N14" s="169">
        <v>161</v>
      </c>
      <c r="O14" s="169">
        <v>71</v>
      </c>
    </row>
    <row r="15" spans="1:15" s="159" customFormat="1" ht="11.25" hidden="1">
      <c r="A15" s="169">
        <v>7010</v>
      </c>
      <c r="B15" s="169" t="s">
        <v>147</v>
      </c>
      <c r="C15" s="169" t="s">
        <v>164</v>
      </c>
      <c r="D15" s="169">
        <v>2</v>
      </c>
      <c r="E15" s="169">
        <v>12</v>
      </c>
      <c r="F15" s="169">
        <v>9</v>
      </c>
      <c r="G15" s="169">
        <v>21</v>
      </c>
      <c r="H15" s="169">
        <v>0</v>
      </c>
      <c r="I15" s="169">
        <v>5</v>
      </c>
      <c r="J15" s="169">
        <v>0</v>
      </c>
      <c r="K15" s="169">
        <v>4</v>
      </c>
      <c r="L15" s="169">
        <v>0</v>
      </c>
      <c r="M15" s="169">
        <v>0</v>
      </c>
      <c r="N15" s="169">
        <v>12</v>
      </c>
      <c r="O15" s="169">
        <v>0</v>
      </c>
    </row>
    <row r="16" spans="1:15" s="159" customFormat="1" ht="11.25" hidden="1">
      <c r="A16" s="169">
        <v>7050</v>
      </c>
      <c r="B16" s="169" t="s">
        <v>165</v>
      </c>
      <c r="C16" s="169" t="s">
        <v>166</v>
      </c>
      <c r="D16" s="169">
        <v>2</v>
      </c>
      <c r="E16" s="169">
        <v>6</v>
      </c>
      <c r="F16" s="169">
        <v>3</v>
      </c>
      <c r="G16" s="169">
        <v>9</v>
      </c>
      <c r="H16" s="169"/>
      <c r="I16" s="169"/>
      <c r="J16" s="169"/>
      <c r="K16" s="169"/>
      <c r="L16" s="169"/>
      <c r="M16" s="169"/>
      <c r="N16" s="169"/>
      <c r="O16" s="169"/>
    </row>
    <row r="17" spans="1:15" s="159" customFormat="1" ht="12.75" hidden="1" customHeight="1">
      <c r="A17" s="169">
        <v>7070</v>
      </c>
      <c r="B17" s="169" t="s">
        <v>167</v>
      </c>
      <c r="C17" s="169" t="s">
        <v>166</v>
      </c>
      <c r="D17" s="169">
        <v>1</v>
      </c>
      <c r="E17" s="169">
        <v>1</v>
      </c>
      <c r="F17" s="169">
        <v>3</v>
      </c>
      <c r="G17" s="169">
        <v>4</v>
      </c>
      <c r="H17" s="169"/>
      <c r="I17" s="169"/>
      <c r="J17" s="169"/>
      <c r="K17" s="169"/>
      <c r="L17" s="169"/>
      <c r="M17" s="169"/>
      <c r="N17" s="169"/>
      <c r="O17" s="169"/>
    </row>
    <row r="18" spans="1:15" s="159" customFormat="1" ht="12.75" hidden="1" customHeight="1">
      <c r="A18" s="169">
        <v>7090</v>
      </c>
      <c r="B18" s="169" t="s">
        <v>168</v>
      </c>
      <c r="C18" s="169" t="s">
        <v>164</v>
      </c>
      <c r="D18" s="169">
        <v>1</v>
      </c>
      <c r="E18" s="169">
        <v>1</v>
      </c>
      <c r="F18" s="169">
        <v>2</v>
      </c>
      <c r="G18" s="169">
        <v>3</v>
      </c>
      <c r="H18" s="169"/>
      <c r="I18" s="169"/>
      <c r="J18" s="169"/>
      <c r="K18" s="169"/>
      <c r="L18" s="169"/>
      <c r="M18" s="169"/>
      <c r="N18" s="169"/>
      <c r="O18" s="169"/>
    </row>
    <row r="19" spans="1:15" s="159" customFormat="1" ht="12.75" hidden="1" customHeight="1">
      <c r="A19" s="169">
        <v>7100</v>
      </c>
      <c r="B19" s="169" t="s">
        <v>169</v>
      </c>
      <c r="C19" s="169" t="s">
        <v>152</v>
      </c>
      <c r="D19" s="169">
        <v>1</v>
      </c>
      <c r="E19" s="169">
        <v>5000</v>
      </c>
      <c r="F19" s="169">
        <v>5000</v>
      </c>
      <c r="G19" s="169">
        <v>10000</v>
      </c>
      <c r="H19" s="169"/>
      <c r="I19" s="169"/>
      <c r="J19" s="169"/>
      <c r="K19" s="169"/>
      <c r="L19" s="169"/>
      <c r="M19" s="169"/>
      <c r="N19" s="169"/>
      <c r="O19" s="169"/>
    </row>
    <row r="20" spans="1:15" s="159" customFormat="1" ht="12.75" hidden="1" customHeight="1">
      <c r="A20" s="169">
        <v>7500</v>
      </c>
      <c r="B20" s="169" t="s">
        <v>170</v>
      </c>
      <c r="C20" s="169" t="s">
        <v>152</v>
      </c>
      <c r="D20" s="169">
        <v>2</v>
      </c>
      <c r="E20" s="169"/>
      <c r="F20" s="169"/>
      <c r="G20" s="169">
        <v>45000</v>
      </c>
      <c r="H20" s="169"/>
      <c r="I20" s="169"/>
      <c r="J20" s="169"/>
      <c r="K20" s="169"/>
      <c r="L20" s="169"/>
      <c r="M20" s="169"/>
      <c r="N20" s="169"/>
      <c r="O20" s="169"/>
    </row>
    <row r="22" spans="1:15" s="159" customFormat="1" ht="12.75">
      <c r="A22" s="160" t="s">
        <v>171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</row>
    <row r="23" spans="1:15" s="159" customFormat="1" ht="12.75">
      <c r="A23" s="161" t="s">
        <v>135</v>
      </c>
      <c r="B23" s="161" t="s">
        <v>162</v>
      </c>
      <c r="C23" s="161" t="s">
        <v>137</v>
      </c>
      <c r="D23" s="161" t="s">
        <v>48</v>
      </c>
      <c r="E23" s="166" t="s">
        <v>138</v>
      </c>
      <c r="F23" s="166" t="s">
        <v>139</v>
      </c>
      <c r="G23" s="162" t="s">
        <v>140</v>
      </c>
      <c r="H23" s="163" t="s">
        <v>141</v>
      </c>
      <c r="I23" s="163"/>
      <c r="J23" s="163" t="s">
        <v>142</v>
      </c>
      <c r="K23" s="163"/>
      <c r="L23" s="163" t="s">
        <v>143</v>
      </c>
      <c r="M23" s="163"/>
      <c r="N23" s="163" t="s">
        <v>144</v>
      </c>
      <c r="O23" s="163"/>
    </row>
    <row r="24" spans="1:15" s="159" customFormat="1">
      <c r="A24" s="164"/>
      <c r="B24" s="164"/>
      <c r="C24" s="164"/>
      <c r="D24" s="170"/>
      <c r="E24" s="164"/>
      <c r="F24" s="164"/>
      <c r="G24" s="171"/>
      <c r="H24" s="161" t="s">
        <v>145</v>
      </c>
      <c r="I24" s="161" t="s">
        <v>146</v>
      </c>
      <c r="J24" s="161" t="s">
        <v>145</v>
      </c>
      <c r="K24" s="161" t="s">
        <v>146</v>
      </c>
      <c r="L24" s="161" t="s">
        <v>145</v>
      </c>
      <c r="M24" s="161" t="s">
        <v>146</v>
      </c>
      <c r="N24" s="161" t="s">
        <v>145</v>
      </c>
      <c r="O24" s="161" t="s">
        <v>146</v>
      </c>
    </row>
    <row r="25" spans="1:15" s="159" customFormat="1">
      <c r="A25" s="164">
        <v>7010</v>
      </c>
      <c r="B25" s="164" t="s">
        <v>147</v>
      </c>
      <c r="C25" s="164" t="s">
        <v>148</v>
      </c>
      <c r="D25" s="167"/>
      <c r="E25" s="164" t="s">
        <v>172</v>
      </c>
      <c r="F25" s="164" t="s">
        <v>150</v>
      </c>
      <c r="G25" s="172"/>
      <c r="H25" s="169"/>
      <c r="I25" s="173"/>
      <c r="J25" s="173"/>
      <c r="K25" s="173"/>
      <c r="L25" s="173"/>
      <c r="M25" s="173"/>
      <c r="N25" s="173"/>
      <c r="O25" s="173"/>
    </row>
    <row r="28" spans="1:15" s="159" customFormat="1">
      <c r="A28" s="158" t="s">
        <v>173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</row>
    <row r="30" spans="1:15" s="159" customFormat="1">
      <c r="A30" s="158" t="s">
        <v>174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</row>
  </sheetData>
  <mergeCells count="14">
    <mergeCell ref="A22:O22"/>
    <mergeCell ref="H23:I23"/>
    <mergeCell ref="J23:K23"/>
    <mergeCell ref="L23:M23"/>
    <mergeCell ref="N23:O23"/>
    <mergeCell ref="A5:O5"/>
    <mergeCell ref="H6:I6"/>
    <mergeCell ref="J6:K6"/>
    <mergeCell ref="L6:M6"/>
    <mergeCell ref="N6:O6"/>
    <mergeCell ref="H12:I12"/>
    <mergeCell ref="J12:K12"/>
    <mergeCell ref="L12:M12"/>
    <mergeCell ref="N12:O12"/>
  </mergeCells>
  <pageMargins left="0.51180555555555607" right="0.51180555555555607" top="0.78750000000000009" bottom="0.78750000000000009" header="0.51180555555555607" footer="0.51180555555555607"/>
  <pageSetup paperSize="0" scale="70" fitToWidth="0" fitToHeight="0" orientation="landscape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/>
  </sheetViews>
  <sheetFormatPr defaultRowHeight="11.25"/>
  <cols>
    <col min="1" max="64" width="9.1640625" style="159" customWidth="1"/>
    <col min="65" max="65" width="9.33203125" style="159" customWidth="1"/>
    <col min="66" max="16384" width="9.33203125" style="159"/>
  </cols>
  <sheetData>
    <row r="1" spans="1:1" ht="16.5" customHeight="1">
      <c r="A1" s="174" t="s">
        <v>175</v>
      </c>
    </row>
    <row r="2" spans="1:1" ht="16.5" customHeight="1">
      <c r="A2" s="175" t="s">
        <v>176</v>
      </c>
    </row>
    <row r="3" spans="1:1" ht="16.5" customHeight="1">
      <c r="A3" s="175" t="s">
        <v>177</v>
      </c>
    </row>
    <row r="4" spans="1:1" ht="16.5" customHeight="1">
      <c r="A4" s="175" t="s">
        <v>178</v>
      </c>
    </row>
    <row r="5" spans="1:1" ht="16.5" customHeight="1">
      <c r="A5" s="175" t="s">
        <v>179</v>
      </c>
    </row>
    <row r="6" spans="1:1" ht="16.5" customHeight="1">
      <c r="A6" s="175" t="s">
        <v>180</v>
      </c>
    </row>
    <row r="7" spans="1:1" ht="16.5" customHeight="1">
      <c r="A7" s="175" t="s">
        <v>181</v>
      </c>
    </row>
    <row r="8" spans="1:1" ht="16.5" customHeight="1">
      <c r="A8" s="175" t="s">
        <v>182</v>
      </c>
    </row>
    <row r="9" spans="1:1" ht="16.5" customHeight="1">
      <c r="A9" s="175" t="s">
        <v>183</v>
      </c>
    </row>
    <row r="10" spans="1:1" ht="16.5" customHeight="1">
      <c r="A10" s="175" t="s">
        <v>184</v>
      </c>
    </row>
    <row r="11" spans="1:1" ht="16.5" customHeight="1">
      <c r="A11" s="175" t="s">
        <v>185</v>
      </c>
    </row>
    <row r="12" spans="1:1" ht="16.5" customHeight="1">
      <c r="A12" s="175" t="s">
        <v>186</v>
      </c>
    </row>
    <row r="13" spans="1:1" ht="16.5" customHeight="1">
      <c r="A13" s="175"/>
    </row>
    <row r="14" spans="1:1" ht="16.5" customHeight="1">
      <c r="A14" s="174" t="s">
        <v>187</v>
      </c>
    </row>
    <row r="15" spans="1:1" ht="16.5" customHeight="1">
      <c r="A15" s="175" t="s">
        <v>188</v>
      </c>
    </row>
    <row r="16" spans="1:1" ht="16.5" customHeight="1">
      <c r="A16" s="159" t="s">
        <v>189</v>
      </c>
    </row>
    <row r="17" spans="1:11" ht="16.5" customHeight="1">
      <c r="A17" s="159" t="s">
        <v>190</v>
      </c>
      <c r="K17" s="176"/>
    </row>
    <row r="18" spans="1:11" ht="16.5" customHeight="1">
      <c r="A18" s="175" t="s">
        <v>191</v>
      </c>
    </row>
  </sheetData>
  <pageMargins left="0.59015748031496096" right="0.39370078740157505" top="1.2791338582677159" bottom="1.2791338582677159" header="0.98385826771653495" footer="0.98385826771653495"/>
  <pageSetup paperSize="0" fitToWidth="0" fitToHeight="0" pageOrder="overThenDown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Bovinos</vt:lpstr>
      <vt:lpstr>Leite_-_Produção</vt:lpstr>
      <vt:lpstr>GTA</vt:lpstr>
      <vt:lpstr>OBSERVAÇÃO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Larissa Nahirny Alves</cp:lastModifiedBy>
  <cp:revision>2</cp:revision>
  <dcterms:created xsi:type="dcterms:W3CDTF">2022-01-14T17:17:31Z</dcterms:created>
  <dcterms:modified xsi:type="dcterms:W3CDTF">2022-02-11T19:09:38Z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