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SETORES\deral\DEB\VBP\VBP 2021\Formulários Bovinos\"/>
    </mc:Choice>
  </mc:AlternateContent>
  <bookViews>
    <workbookView xWindow="0" yWindow="0" windowWidth="28800" windowHeight="11430" tabRatio="500"/>
  </bookViews>
  <sheets>
    <sheet name="Bovinos" sheetId="1" r:id="rId1"/>
    <sheet name="TODOS OS PRODUTOS" sheetId="2" state="hidden" r:id="rId2"/>
    <sheet name="Leite - Produção" sheetId="3" r:id="rId3"/>
    <sheet name="Leite - Captação" sheetId="4" state="hidden" r:id="rId4"/>
    <sheet name="GTA" sheetId="6" r:id="rId5"/>
    <sheet name="OBSERVAÇÃO" sheetId="5" r:id="rId6"/>
  </sheets>
  <externalReferences>
    <externalReference r:id="rId7"/>
  </externalReferences>
  <definedNames>
    <definedName name="_xlnm.Print_Area" localSheetId="0">Bovinos!$A$1:$P$156</definedName>
    <definedName name="Excel_BuiltIn_Print_Area" localSheetId="1">'TODOS OS PRODUTOS'!#REF!</definedName>
    <definedName name="SHARED_FORMULA_17_102_17_102_1" localSheetId="4">+!$S$5</definedName>
    <definedName name="SHARED_FORMULA_17_102_17_102_1">+#REF!</definedName>
    <definedName name="SHARED_FORMULA_17_134_17_134_1" localSheetId="4">+!$S$5</definedName>
    <definedName name="SHARED_FORMULA_17_134_17_134_1">+#REF!</definedName>
    <definedName name="SHARED_FORMULA_17_166_17_166_1" localSheetId="4">+!$S$5</definedName>
    <definedName name="SHARED_FORMULA_17_166_17_166_1">+#REF!</definedName>
    <definedName name="SHARED_FORMULA_17_232_17_232_1" localSheetId="4">+!$S$5</definedName>
    <definedName name="SHARED_FORMULA_17_232_17_232_1">+#REF!</definedName>
    <definedName name="SHARED_FORMULA_17_246_17_246_1" localSheetId="4">+!$S$5</definedName>
    <definedName name="SHARED_FORMULA_17_246_17_246_1">+#REF!</definedName>
    <definedName name="SHARED_FORMULA_17_310_17_310_1" localSheetId="4">+!$S$5</definedName>
    <definedName name="SHARED_FORMULA_17_310_17_310_1">+#REF!</definedName>
    <definedName name="SHARED_FORMULA_17_38_17_38_1" localSheetId="4">+!$S$5</definedName>
    <definedName name="SHARED_FORMULA_17_38_17_38_1">+#REF!</definedName>
    <definedName name="SHARED_FORMULA_17_6_17_6_1" localSheetId="4">+!$S$5</definedName>
    <definedName name="SHARED_FORMULA_17_6_17_6_1">+#REF!</definedName>
    <definedName name="SHARED_FORMULA_17_70_17_70_1" localSheetId="4">+!$S$5</definedName>
    <definedName name="SHARED_FORMULA_17_70_17_70_1">+#REF!</definedName>
    <definedName name="SHARED_FORMULA_18_113_18_113_1" localSheetId="4">+!S113</definedName>
    <definedName name="SHARED_FORMULA_18_113_18_113_1">+#REF!</definedName>
    <definedName name="SHARED_FORMULA_18_128_18_128_1" localSheetId="4">+!S128</definedName>
    <definedName name="SHARED_FORMULA_18_128_18_128_1">+#REF!</definedName>
    <definedName name="SHARED_FORMULA_18_143_18_143_1" localSheetId="4">+!S143</definedName>
    <definedName name="SHARED_FORMULA_18_143_18_143_1">+#REF!</definedName>
    <definedName name="SHARED_FORMULA_18_158_18_158_1" localSheetId="4">+!S158</definedName>
    <definedName name="SHARED_FORMULA_18_158_18_158_1">+#REF!</definedName>
    <definedName name="SHARED_FORMULA_18_173_18_173_1" localSheetId="4">+!S173</definedName>
    <definedName name="SHARED_FORMULA_18_173_18_173_1">+#REF!</definedName>
    <definedName name="SHARED_FORMULA_18_188_18_188_1" localSheetId="4">+!S188</definedName>
    <definedName name="SHARED_FORMULA_18_188_18_188_1">+#REF!</definedName>
    <definedName name="SHARED_FORMULA_18_203_18_203_1" localSheetId="4">+!S203</definedName>
    <definedName name="SHARED_FORMULA_18_203_18_203_1">+#REF!</definedName>
    <definedName name="SHARED_FORMULA_18_218_18_218_1" localSheetId="4">+!S218</definedName>
    <definedName name="SHARED_FORMULA_18_218_18_218_1">+#REF!</definedName>
    <definedName name="SHARED_FORMULA_18_23_18_23_1" localSheetId="4">+!S23</definedName>
    <definedName name="SHARED_FORMULA_18_23_18_23_1">+#REF!</definedName>
    <definedName name="SHARED_FORMULA_18_233_18_233_1" localSheetId="4">+!S233</definedName>
    <definedName name="SHARED_FORMULA_18_233_18_233_1">+#REF!</definedName>
    <definedName name="SHARED_FORMULA_18_248_18_248_1" localSheetId="4">+!S248</definedName>
    <definedName name="SHARED_FORMULA_18_248_18_248_1">+#REF!</definedName>
    <definedName name="SHARED_FORMULA_18_263_18_263_1" localSheetId="4">+!S263</definedName>
    <definedName name="SHARED_FORMULA_18_263_18_263_1">+#REF!</definedName>
    <definedName name="SHARED_FORMULA_18_278_18_278_1" localSheetId="4">+!S278</definedName>
    <definedName name="SHARED_FORMULA_18_278_18_278_1">+#REF!</definedName>
    <definedName name="SHARED_FORMULA_18_293_18_293_1" localSheetId="4">+!S293</definedName>
    <definedName name="SHARED_FORMULA_18_293_18_293_1">+#REF!</definedName>
    <definedName name="SHARED_FORMULA_18_308_18_308_1" localSheetId="4">+!S308</definedName>
    <definedName name="SHARED_FORMULA_18_308_18_308_1">+#REF!</definedName>
    <definedName name="SHARED_FORMULA_18_323_18_323_1" localSheetId="4">+!S323</definedName>
    <definedName name="SHARED_FORMULA_18_323_18_323_1">+#REF!</definedName>
    <definedName name="SHARED_FORMULA_18_338_18_338_1" localSheetId="4">+!S338</definedName>
    <definedName name="SHARED_FORMULA_18_338_18_338_1">+#REF!</definedName>
    <definedName name="SHARED_FORMULA_18_353_18_353_1" localSheetId="4">+!S353</definedName>
    <definedName name="SHARED_FORMULA_18_353_18_353_1">+#REF!</definedName>
    <definedName name="SHARED_FORMULA_18_368_18_368_1" localSheetId="4">+!S368</definedName>
    <definedName name="SHARED_FORMULA_18_368_18_368_1">+#REF!</definedName>
    <definedName name="SHARED_FORMULA_18_38_18_38_1" localSheetId="4">+!S38</definedName>
    <definedName name="SHARED_FORMULA_18_38_18_38_1">+#REF!</definedName>
    <definedName name="SHARED_FORMULA_18_53_18_53_1" localSheetId="4">+!S53</definedName>
    <definedName name="SHARED_FORMULA_18_53_18_53_1">+#REF!</definedName>
    <definedName name="SHARED_FORMULA_18_68_18_68_1" localSheetId="4">+!S68</definedName>
    <definedName name="SHARED_FORMULA_18_68_18_68_1">+#REF!</definedName>
    <definedName name="SHARED_FORMULA_18_8_18_8_1" localSheetId="4">+!S8</definedName>
    <definedName name="SHARED_FORMULA_18_8_18_8_1">+#REF!</definedName>
    <definedName name="SHARED_FORMULA_18_83_18_83_1" localSheetId="4">+!S83</definedName>
    <definedName name="SHARED_FORMULA_18_83_18_83_1">+#REF!</definedName>
    <definedName name="SHARED_FORMULA_18_98_18_98_1" localSheetId="4">+!S98</definedName>
    <definedName name="SHARED_FORMULA_18_98_18_98_1">+#REF!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A6" i="1" l="1"/>
  <c r="AB6" i="1"/>
  <c r="AC6" i="1"/>
  <c r="AD6" i="1"/>
  <c r="R7" i="1"/>
  <c r="S7" i="1"/>
  <c r="R8" i="1"/>
  <c r="S8" i="1"/>
  <c r="V8" i="1"/>
  <c r="R9" i="1"/>
  <c r="S9" i="1"/>
  <c r="S10" i="1" s="1"/>
  <c r="S11" i="1" s="1"/>
  <c r="S12" i="1" s="1"/>
  <c r="V9" i="1"/>
  <c r="W9" i="1"/>
  <c r="X9" i="1"/>
  <c r="R10" i="1"/>
  <c r="W10" i="1"/>
  <c r="X10" i="1"/>
  <c r="R11" i="1"/>
  <c r="W11" i="1"/>
  <c r="X11" i="1"/>
  <c r="R12" i="1"/>
  <c r="X12" i="1"/>
  <c r="R13" i="1"/>
  <c r="S13" i="1"/>
  <c r="S14" i="1" s="1"/>
  <c r="S15" i="1" s="1"/>
  <c r="S16" i="1" s="1"/>
  <c r="S17" i="1" s="1"/>
  <c r="S18" i="1" s="1"/>
  <c r="S19" i="1" s="1"/>
  <c r="S20" i="1" s="1"/>
  <c r="S21" i="1" s="1"/>
  <c r="X13" i="1"/>
  <c r="R14" i="1"/>
  <c r="X14" i="1"/>
  <c r="R15" i="1"/>
  <c r="X15" i="1"/>
  <c r="R16" i="1"/>
  <c r="X16" i="1"/>
  <c r="R17" i="1"/>
  <c r="X17" i="1"/>
  <c r="R18" i="1"/>
  <c r="X18" i="1"/>
  <c r="R19" i="1"/>
  <c r="X19" i="1"/>
  <c r="R20" i="1"/>
  <c r="X20" i="1"/>
  <c r="R21" i="1"/>
  <c r="U21" i="1"/>
  <c r="R22" i="1"/>
  <c r="S22" i="1"/>
  <c r="S23" i="1" s="1"/>
  <c r="S24" i="1" s="1"/>
  <c r="S25" i="1" s="1"/>
  <c r="S26" i="1" s="1"/>
  <c r="S27" i="1" s="1"/>
  <c r="S28" i="1" s="1"/>
  <c r="R23" i="1"/>
  <c r="V23" i="1"/>
  <c r="R24" i="1"/>
  <c r="V24" i="1"/>
  <c r="W24" i="1"/>
  <c r="X24" i="1"/>
  <c r="R25" i="1"/>
  <c r="W25" i="1"/>
  <c r="X25" i="1"/>
  <c r="R26" i="1"/>
  <c r="W26" i="1"/>
  <c r="X26" i="1"/>
  <c r="R27" i="1"/>
  <c r="X27" i="1"/>
  <c r="R28" i="1"/>
  <c r="X28" i="1"/>
  <c r="R29" i="1"/>
  <c r="S29" i="1"/>
  <c r="S30" i="1" s="1"/>
  <c r="S31" i="1" s="1"/>
  <c r="S32" i="1" s="1"/>
  <c r="S33" i="1" s="1"/>
  <c r="S34" i="1" s="1"/>
  <c r="S35" i="1" s="1"/>
  <c r="S36" i="1" s="1"/>
  <c r="X29" i="1"/>
  <c r="R30" i="1"/>
  <c r="X30" i="1"/>
  <c r="R31" i="1"/>
  <c r="X31" i="1"/>
  <c r="R32" i="1"/>
  <c r="X32" i="1"/>
  <c r="R33" i="1"/>
  <c r="X33" i="1"/>
  <c r="R34" i="1"/>
  <c r="X34" i="1"/>
  <c r="R35" i="1"/>
  <c r="X35" i="1"/>
  <c r="R36" i="1"/>
  <c r="U36" i="1"/>
  <c r="R37" i="1"/>
  <c r="S37" i="1"/>
  <c r="S38" i="1" s="1"/>
  <c r="S39" i="1" s="1"/>
  <c r="S40" i="1" s="1"/>
  <c r="S41" i="1" s="1"/>
  <c r="S42" i="1" s="1"/>
  <c r="S43" i="1" s="1"/>
  <c r="S44" i="1" s="1"/>
  <c r="R38" i="1"/>
  <c r="V38" i="1"/>
  <c r="R39" i="1"/>
  <c r="V39" i="1"/>
  <c r="X39" i="1"/>
  <c r="R40" i="1"/>
  <c r="X40" i="1"/>
  <c r="R41" i="1"/>
  <c r="W41" i="1"/>
  <c r="X41" i="1"/>
  <c r="R42" i="1"/>
  <c r="X42" i="1"/>
  <c r="R43" i="1"/>
  <c r="X43" i="1"/>
  <c r="R44" i="1"/>
  <c r="X44" i="1"/>
  <c r="R45" i="1"/>
  <c r="S45" i="1"/>
  <c r="S46" i="1" s="1"/>
  <c r="S47" i="1" s="1"/>
  <c r="S48" i="1" s="1"/>
  <c r="X45" i="1"/>
  <c r="R46" i="1"/>
  <c r="X46" i="1"/>
  <c r="R47" i="1"/>
  <c r="X47" i="1"/>
  <c r="R48" i="1"/>
  <c r="X48" i="1"/>
  <c r="R49" i="1"/>
  <c r="S49" i="1"/>
  <c r="S50" i="1" s="1"/>
  <c r="S51" i="1" s="1"/>
  <c r="X49" i="1"/>
  <c r="R50" i="1"/>
  <c r="X50" i="1"/>
  <c r="R51" i="1"/>
  <c r="U51" i="1"/>
  <c r="R52" i="1"/>
  <c r="S52" i="1"/>
  <c r="R53" i="1"/>
  <c r="S53" i="1"/>
  <c r="S54" i="1" s="1"/>
  <c r="S55" i="1" s="1"/>
  <c r="S56" i="1" s="1"/>
  <c r="S57" i="1" s="1"/>
  <c r="S58" i="1" s="1"/>
  <c r="S59" i="1" s="1"/>
  <c r="S60" i="1" s="1"/>
  <c r="S61" i="1" s="1"/>
  <c r="S62" i="1" s="1"/>
  <c r="S63" i="1" s="1"/>
  <c r="S64" i="1" s="1"/>
  <c r="S65" i="1" s="1"/>
  <c r="S66" i="1" s="1"/>
  <c r="V53" i="1"/>
  <c r="R54" i="1"/>
  <c r="V54" i="1"/>
  <c r="X54" i="1"/>
  <c r="R55" i="1"/>
  <c r="X55" i="1"/>
  <c r="R56" i="1"/>
  <c r="W56" i="1"/>
  <c r="X56" i="1"/>
  <c r="R57" i="1"/>
  <c r="X57" i="1"/>
  <c r="R58" i="1"/>
  <c r="X58" i="1"/>
  <c r="R59" i="1"/>
  <c r="X59" i="1"/>
  <c r="R60" i="1"/>
  <c r="X60" i="1"/>
  <c r="R61" i="1"/>
  <c r="X61" i="1"/>
  <c r="R62" i="1"/>
  <c r="X62" i="1"/>
  <c r="R63" i="1"/>
  <c r="X63" i="1"/>
  <c r="R64" i="1"/>
  <c r="X64" i="1"/>
  <c r="R65" i="1"/>
  <c r="X65" i="1"/>
  <c r="R66" i="1"/>
  <c r="U66" i="1"/>
  <c r="R67" i="1"/>
  <c r="S67" i="1"/>
  <c r="S68" i="1" s="1"/>
  <c r="R68" i="1"/>
  <c r="V68" i="1"/>
  <c r="R69" i="1"/>
  <c r="S69" i="1"/>
  <c r="S70" i="1" s="1"/>
  <c r="S71" i="1" s="1"/>
  <c r="S72" i="1" s="1"/>
  <c r="S73" i="1" s="1"/>
  <c r="S74" i="1" s="1"/>
  <c r="S75" i="1" s="1"/>
  <c r="S76" i="1" s="1"/>
  <c r="S77" i="1" s="1"/>
  <c r="S78" i="1" s="1"/>
  <c r="S79" i="1" s="1"/>
  <c r="S80" i="1" s="1"/>
  <c r="S81" i="1" s="1"/>
  <c r="V69" i="1"/>
  <c r="X69" i="1"/>
  <c r="R70" i="1"/>
  <c r="X70" i="1"/>
  <c r="R71" i="1"/>
  <c r="W71" i="1"/>
  <c r="X71" i="1"/>
  <c r="R72" i="1"/>
  <c r="X72" i="1"/>
  <c r="R73" i="1"/>
  <c r="X73" i="1"/>
  <c r="R74" i="1"/>
  <c r="X74" i="1"/>
  <c r="R75" i="1"/>
  <c r="X75" i="1"/>
  <c r="R76" i="1"/>
  <c r="X76" i="1"/>
  <c r="R77" i="1"/>
  <c r="X77" i="1"/>
  <c r="R78" i="1"/>
  <c r="X78" i="1"/>
  <c r="R79" i="1"/>
  <c r="X79" i="1"/>
  <c r="R80" i="1"/>
  <c r="X80" i="1"/>
  <c r="R81" i="1"/>
  <c r="U81" i="1"/>
  <c r="R82" i="1"/>
  <c r="S82" i="1"/>
  <c r="S83" i="1" s="1"/>
  <c r="S84" i="1" s="1"/>
  <c r="S85" i="1" s="1"/>
  <c r="S86" i="1" s="1"/>
  <c r="S87" i="1" s="1"/>
  <c r="S88" i="1" s="1"/>
  <c r="S89" i="1" s="1"/>
  <c r="S90" i="1" s="1"/>
  <c r="S91" i="1" s="1"/>
  <c r="S92" i="1" s="1"/>
  <c r="S93" i="1" s="1"/>
  <c r="S94" i="1" s="1"/>
  <c r="S95" i="1" s="1"/>
  <c r="S96" i="1" s="1"/>
  <c r="R83" i="1"/>
  <c r="V83" i="1"/>
  <c r="R84" i="1"/>
  <c r="V84" i="1"/>
  <c r="X84" i="1"/>
  <c r="R85" i="1"/>
  <c r="X85" i="1"/>
  <c r="R86" i="1"/>
  <c r="W86" i="1"/>
  <c r="X86" i="1"/>
  <c r="R87" i="1"/>
  <c r="X87" i="1"/>
  <c r="R88" i="1"/>
  <c r="X88" i="1"/>
  <c r="R89" i="1"/>
  <c r="X89" i="1"/>
  <c r="R90" i="1"/>
  <c r="X90" i="1"/>
  <c r="R91" i="1"/>
  <c r="X91" i="1"/>
  <c r="R92" i="1"/>
  <c r="X92" i="1"/>
  <c r="R93" i="1"/>
  <c r="X93" i="1"/>
  <c r="R94" i="1"/>
  <c r="X94" i="1"/>
  <c r="R95" i="1"/>
  <c r="X95" i="1"/>
  <c r="R96" i="1"/>
  <c r="U96" i="1"/>
  <c r="R97" i="1"/>
  <c r="S97" i="1"/>
  <c r="R98" i="1"/>
  <c r="S98" i="1"/>
  <c r="S99" i="1" s="1"/>
  <c r="V98" i="1"/>
  <c r="R99" i="1"/>
  <c r="V99" i="1"/>
  <c r="X99" i="1"/>
  <c r="R100" i="1"/>
  <c r="S100" i="1"/>
  <c r="X100" i="1"/>
  <c r="R101" i="1"/>
  <c r="S101" i="1"/>
  <c r="W101" i="1"/>
  <c r="X101" i="1"/>
  <c r="R102" i="1"/>
  <c r="S102" i="1"/>
  <c r="S103" i="1" s="1"/>
  <c r="S104" i="1" s="1"/>
  <c r="S105" i="1" s="1"/>
  <c r="S106" i="1" s="1"/>
  <c r="S107" i="1" s="1"/>
  <c r="S108" i="1" s="1"/>
  <c r="S109" i="1" s="1"/>
  <c r="S110" i="1" s="1"/>
  <c r="S111" i="1" s="1"/>
  <c r="X102" i="1"/>
  <c r="R103" i="1"/>
  <c r="X103" i="1"/>
  <c r="R104" i="1"/>
  <c r="X104" i="1"/>
  <c r="R105" i="1"/>
  <c r="X105" i="1"/>
  <c r="R106" i="1"/>
  <c r="X106" i="1"/>
  <c r="R107" i="1"/>
  <c r="X107" i="1"/>
  <c r="R108" i="1"/>
  <c r="X108" i="1"/>
  <c r="R109" i="1"/>
  <c r="X109" i="1"/>
  <c r="R110" i="1"/>
  <c r="X110" i="1"/>
  <c r="R111" i="1"/>
  <c r="U111" i="1"/>
  <c r="R112" i="1"/>
  <c r="S112" i="1"/>
  <c r="R113" i="1"/>
  <c r="S113" i="1"/>
  <c r="S114" i="1" s="1"/>
  <c r="S115" i="1" s="1"/>
  <c r="S116" i="1" s="1"/>
  <c r="S117" i="1" s="1"/>
  <c r="S118" i="1" s="1"/>
  <c r="S119" i="1" s="1"/>
  <c r="S120" i="1" s="1"/>
  <c r="S121" i="1" s="1"/>
  <c r="S122" i="1" s="1"/>
  <c r="S123" i="1" s="1"/>
  <c r="S124" i="1" s="1"/>
  <c r="S125" i="1" s="1"/>
  <c r="S126" i="1" s="1"/>
  <c r="V113" i="1"/>
  <c r="R114" i="1"/>
  <c r="V114" i="1"/>
  <c r="X114" i="1"/>
  <c r="R115" i="1"/>
  <c r="X115" i="1"/>
  <c r="R116" i="1"/>
  <c r="W116" i="1"/>
  <c r="X116" i="1"/>
  <c r="R117" i="1"/>
  <c r="X117" i="1"/>
  <c r="R118" i="1"/>
  <c r="X118" i="1"/>
  <c r="R119" i="1"/>
  <c r="X119" i="1"/>
  <c r="R120" i="1"/>
  <c r="X120" i="1"/>
  <c r="R121" i="1"/>
  <c r="X121" i="1"/>
  <c r="R122" i="1"/>
  <c r="X122" i="1"/>
  <c r="R123" i="1"/>
  <c r="X123" i="1"/>
  <c r="R124" i="1"/>
  <c r="X124" i="1"/>
  <c r="R125" i="1"/>
  <c r="X125" i="1"/>
  <c r="R126" i="1"/>
  <c r="U126" i="1"/>
  <c r="R127" i="1"/>
  <c r="S127" i="1"/>
  <c r="R128" i="1"/>
  <c r="S128" i="1"/>
  <c r="V128" i="1"/>
  <c r="R129" i="1"/>
  <c r="S129" i="1"/>
  <c r="S130" i="1" s="1"/>
  <c r="S131" i="1" s="1"/>
  <c r="S132" i="1" s="1"/>
  <c r="V129" i="1"/>
  <c r="X129" i="1"/>
  <c r="R130" i="1"/>
  <c r="X130" i="1"/>
  <c r="R131" i="1"/>
  <c r="W131" i="1"/>
  <c r="X131" i="1"/>
  <c r="R132" i="1"/>
  <c r="X132" i="1"/>
  <c r="R133" i="1"/>
  <c r="S133" i="1"/>
  <c r="S134" i="1" s="1"/>
  <c r="S135" i="1" s="1"/>
  <c r="S136" i="1" s="1"/>
  <c r="S137" i="1" s="1"/>
  <c r="S138" i="1" s="1"/>
  <c r="S139" i="1" s="1"/>
  <c r="S140" i="1" s="1"/>
  <c r="S141" i="1" s="1"/>
  <c r="X133" i="1"/>
  <c r="R134" i="1"/>
  <c r="X134" i="1"/>
  <c r="R135" i="1"/>
  <c r="X135" i="1"/>
  <c r="R136" i="1"/>
  <c r="X136" i="1"/>
  <c r="R137" i="1"/>
  <c r="X137" i="1"/>
  <c r="R138" i="1"/>
  <c r="X138" i="1"/>
  <c r="R139" i="1"/>
  <c r="X139" i="1"/>
  <c r="R140" i="1"/>
  <c r="X140" i="1"/>
  <c r="R141" i="1"/>
  <c r="U141" i="1"/>
  <c r="R142" i="1"/>
  <c r="S142" i="1"/>
  <c r="S143" i="1" s="1"/>
  <c r="S144" i="1" s="1"/>
  <c r="S145" i="1" s="1"/>
  <c r="S146" i="1" s="1"/>
  <c r="S147" i="1" s="1"/>
  <c r="S148" i="1" s="1"/>
  <c r="S149" i="1" s="1"/>
  <c r="S150" i="1" s="1"/>
  <c r="S151" i="1" s="1"/>
  <c r="S152" i="1" s="1"/>
  <c r="S153" i="1" s="1"/>
  <c r="S154" i="1" s="1"/>
  <c r="S155" i="1" s="1"/>
  <c r="S156" i="1" s="1"/>
  <c r="R143" i="1"/>
  <c r="V143" i="1"/>
  <c r="R144" i="1"/>
  <c r="V144" i="1"/>
  <c r="X144" i="1"/>
  <c r="R145" i="1"/>
  <c r="X145" i="1"/>
  <c r="R146" i="1"/>
  <c r="W146" i="1"/>
  <c r="X146" i="1"/>
  <c r="R147" i="1"/>
  <c r="X147" i="1"/>
  <c r="R148" i="1"/>
  <c r="X148" i="1"/>
  <c r="R149" i="1"/>
  <c r="X149" i="1"/>
  <c r="R150" i="1"/>
  <c r="X150" i="1"/>
  <c r="R151" i="1"/>
  <c r="X151" i="1"/>
  <c r="R152" i="1"/>
  <c r="X152" i="1"/>
  <c r="R153" i="1"/>
  <c r="X153" i="1"/>
  <c r="R154" i="1"/>
  <c r="X154" i="1"/>
  <c r="R155" i="1"/>
  <c r="X155" i="1"/>
  <c r="R156" i="1"/>
  <c r="U156" i="1"/>
  <c r="R157" i="1"/>
  <c r="S157" i="1"/>
  <c r="R158" i="1"/>
  <c r="S158" i="1"/>
  <c r="S159" i="1" s="1"/>
  <c r="S160" i="1" s="1"/>
  <c r="S161" i="1" s="1"/>
  <c r="S162" i="1" s="1"/>
  <c r="S163" i="1" s="1"/>
  <c r="S164" i="1" s="1"/>
  <c r="S165" i="1" s="1"/>
  <c r="S166" i="1" s="1"/>
  <c r="S167" i="1" s="1"/>
  <c r="S168" i="1" s="1"/>
  <c r="S169" i="1" s="1"/>
  <c r="S170" i="1" s="1"/>
  <c r="S171" i="1" s="1"/>
  <c r="V158" i="1"/>
  <c r="R159" i="1"/>
  <c r="V159" i="1"/>
  <c r="X159" i="1"/>
  <c r="R160" i="1"/>
  <c r="X160" i="1"/>
  <c r="R161" i="1"/>
  <c r="W161" i="1"/>
  <c r="X161" i="1"/>
  <c r="R162" i="1"/>
  <c r="X162" i="1"/>
  <c r="R163" i="1"/>
  <c r="X163" i="1"/>
  <c r="R164" i="1"/>
  <c r="X164" i="1"/>
  <c r="R165" i="1"/>
  <c r="X165" i="1"/>
  <c r="R166" i="1"/>
  <c r="X166" i="1"/>
  <c r="R167" i="1"/>
  <c r="X167" i="1"/>
  <c r="R168" i="1"/>
  <c r="X168" i="1"/>
  <c r="R169" i="1"/>
  <c r="X169" i="1"/>
  <c r="R170" i="1"/>
  <c r="X170" i="1"/>
  <c r="R171" i="1"/>
  <c r="U171" i="1"/>
  <c r="R172" i="1"/>
  <c r="S172" i="1"/>
  <c r="R173" i="1"/>
  <c r="S173" i="1"/>
  <c r="V173" i="1"/>
  <c r="R174" i="1"/>
  <c r="S174" i="1"/>
  <c r="V174" i="1"/>
  <c r="X174" i="1"/>
  <c r="R175" i="1"/>
  <c r="S175" i="1"/>
  <c r="X175" i="1"/>
  <c r="R176" i="1"/>
  <c r="S176" i="1"/>
  <c r="W176" i="1"/>
  <c r="X176" i="1"/>
  <c r="R177" i="1"/>
  <c r="S177" i="1"/>
  <c r="S178" i="1" s="1"/>
  <c r="S179" i="1" s="1"/>
  <c r="S180" i="1" s="1"/>
  <c r="S181" i="1" s="1"/>
  <c r="S182" i="1" s="1"/>
  <c r="S183" i="1" s="1"/>
  <c r="S184" i="1" s="1"/>
  <c r="S185" i="1" s="1"/>
  <c r="S186" i="1" s="1"/>
  <c r="X177" i="1"/>
  <c r="R178" i="1"/>
  <c r="X178" i="1"/>
  <c r="R179" i="1"/>
  <c r="X179" i="1"/>
  <c r="R180" i="1"/>
  <c r="X180" i="1"/>
  <c r="R181" i="1"/>
  <c r="X181" i="1"/>
  <c r="R182" i="1"/>
  <c r="X182" i="1"/>
  <c r="R183" i="1"/>
  <c r="X183" i="1"/>
  <c r="R184" i="1"/>
  <c r="X184" i="1"/>
  <c r="R185" i="1"/>
  <c r="X185" i="1"/>
  <c r="R186" i="1"/>
  <c r="U186" i="1"/>
  <c r="R187" i="1"/>
  <c r="S187" i="1"/>
  <c r="R188" i="1"/>
  <c r="S188" i="1"/>
  <c r="V188" i="1"/>
  <c r="R189" i="1"/>
  <c r="S189" i="1"/>
  <c r="S190" i="1" s="1"/>
  <c r="S191" i="1" s="1"/>
  <c r="S192" i="1" s="1"/>
  <c r="S193" i="1" s="1"/>
  <c r="S194" i="1" s="1"/>
  <c r="S195" i="1" s="1"/>
  <c r="S196" i="1" s="1"/>
  <c r="S197" i="1" s="1"/>
  <c r="S198" i="1" s="1"/>
  <c r="S199" i="1" s="1"/>
  <c r="S200" i="1" s="1"/>
  <c r="S201" i="1" s="1"/>
  <c r="V189" i="1"/>
  <c r="X189" i="1"/>
  <c r="R190" i="1"/>
  <c r="X190" i="1"/>
  <c r="R191" i="1"/>
  <c r="W191" i="1"/>
  <c r="X191" i="1"/>
  <c r="R192" i="1"/>
  <c r="X192" i="1"/>
  <c r="R193" i="1"/>
  <c r="X193" i="1"/>
  <c r="R194" i="1"/>
  <c r="X194" i="1"/>
  <c r="R195" i="1"/>
  <c r="X195" i="1"/>
  <c r="R196" i="1"/>
  <c r="X196" i="1"/>
  <c r="R197" i="1"/>
  <c r="X197" i="1"/>
  <c r="R198" i="1"/>
  <c r="X198" i="1"/>
  <c r="R199" i="1"/>
  <c r="X199" i="1"/>
  <c r="R200" i="1"/>
  <c r="X200" i="1"/>
  <c r="R201" i="1"/>
  <c r="U201" i="1"/>
  <c r="R202" i="1"/>
  <c r="S202" i="1"/>
  <c r="S203" i="1" s="1"/>
  <c r="S204" i="1" s="1"/>
  <c r="S205" i="1" s="1"/>
  <c r="S206" i="1" s="1"/>
  <c r="S207" i="1" s="1"/>
  <c r="S208" i="1" s="1"/>
  <c r="R203" i="1"/>
  <c r="V203" i="1"/>
  <c r="R204" i="1"/>
  <c r="V204" i="1"/>
  <c r="X204" i="1"/>
  <c r="R205" i="1"/>
  <c r="X205" i="1"/>
  <c r="R206" i="1"/>
  <c r="W206" i="1"/>
  <c r="X206" i="1"/>
  <c r="R207" i="1"/>
  <c r="X207" i="1"/>
  <c r="R208" i="1"/>
  <c r="X208" i="1"/>
  <c r="R209" i="1"/>
  <c r="S209" i="1"/>
  <c r="X209" i="1"/>
  <c r="R210" i="1"/>
  <c r="S210" i="1"/>
  <c r="S211" i="1" s="1"/>
  <c r="S212" i="1" s="1"/>
  <c r="S213" i="1" s="1"/>
  <c r="S214" i="1" s="1"/>
  <c r="S215" i="1" s="1"/>
  <c r="S216" i="1" s="1"/>
  <c r="X210" i="1"/>
  <c r="R211" i="1"/>
  <c r="X211" i="1"/>
  <c r="R212" i="1"/>
  <c r="X212" i="1"/>
  <c r="R213" i="1"/>
  <c r="X213" i="1"/>
  <c r="R214" i="1"/>
  <c r="X214" i="1"/>
  <c r="R215" i="1"/>
  <c r="X215" i="1"/>
  <c r="R216" i="1"/>
  <c r="U216" i="1"/>
  <c r="R217" i="1"/>
  <c r="S217" i="1"/>
  <c r="S218" i="1" s="1"/>
  <c r="S219" i="1" s="1"/>
  <c r="S220" i="1" s="1"/>
  <c r="S221" i="1" s="1"/>
  <c r="S222" i="1" s="1"/>
  <c r="S223" i="1" s="1"/>
  <c r="S224" i="1" s="1"/>
  <c r="S225" i="1" s="1"/>
  <c r="S226" i="1" s="1"/>
  <c r="S227" i="1" s="1"/>
  <c r="S228" i="1" s="1"/>
  <c r="S229" i="1" s="1"/>
  <c r="S230" i="1" s="1"/>
  <c r="S231" i="1" s="1"/>
  <c r="R218" i="1"/>
  <c r="V218" i="1"/>
  <c r="R219" i="1"/>
  <c r="V219" i="1"/>
  <c r="X219" i="1"/>
  <c r="R220" i="1"/>
  <c r="X220" i="1"/>
  <c r="R221" i="1"/>
  <c r="W221" i="1"/>
  <c r="X221" i="1"/>
  <c r="R222" i="1"/>
  <c r="X222" i="1"/>
  <c r="R223" i="1"/>
  <c r="X223" i="1"/>
  <c r="R224" i="1"/>
  <c r="X224" i="1"/>
  <c r="R225" i="1"/>
  <c r="X225" i="1"/>
  <c r="R226" i="1"/>
  <c r="X226" i="1"/>
  <c r="R227" i="1"/>
  <c r="X227" i="1"/>
  <c r="R228" i="1"/>
  <c r="X228" i="1"/>
  <c r="R229" i="1"/>
  <c r="X229" i="1"/>
  <c r="R230" i="1"/>
  <c r="X230" i="1"/>
  <c r="R231" i="1"/>
  <c r="U231" i="1"/>
  <c r="P38" i="4" l="1"/>
  <c r="O38" i="4"/>
  <c r="N38" i="4"/>
  <c r="M38" i="4"/>
  <c r="L38" i="4"/>
  <c r="K38" i="4"/>
  <c r="J38" i="4"/>
  <c r="I38" i="4"/>
  <c r="H38" i="4"/>
  <c r="G38" i="4"/>
  <c r="F38" i="4"/>
  <c r="E38" i="4"/>
  <c r="D38" i="4"/>
  <c r="C38" i="4"/>
  <c r="B38" i="4"/>
  <c r="S37" i="4"/>
  <c r="Q37" i="4"/>
  <c r="Q36" i="4"/>
  <c r="S36" i="4" s="1"/>
  <c r="Q35" i="4"/>
  <c r="S35" i="4" s="1"/>
  <c r="Q34" i="4"/>
  <c r="S34" i="4" s="1"/>
  <c r="Q33" i="4"/>
  <c r="S33" i="4" s="1"/>
  <c r="Q32" i="4"/>
  <c r="S32" i="4" s="1"/>
  <c r="Q31" i="4"/>
  <c r="S31" i="4" s="1"/>
  <c r="Q30" i="4"/>
  <c r="S30" i="4" s="1"/>
  <c r="S29" i="4"/>
  <c r="Q29" i="4"/>
  <c r="Q28" i="4"/>
  <c r="S28" i="4" s="1"/>
  <c r="Q27" i="4"/>
  <c r="S27" i="4" s="1"/>
  <c r="Q26" i="4"/>
  <c r="S26" i="4" s="1"/>
  <c r="Q25" i="4"/>
  <c r="S25" i="4" s="1"/>
  <c r="Q24" i="4"/>
  <c r="S24" i="4" s="1"/>
  <c r="Q23" i="4"/>
  <c r="S23" i="4" s="1"/>
  <c r="Q22" i="4"/>
  <c r="S22" i="4" s="1"/>
  <c r="S21" i="4"/>
  <c r="Q21" i="4"/>
  <c r="Q20" i="4"/>
  <c r="S20" i="4" s="1"/>
  <c r="Q19" i="4"/>
  <c r="S19" i="4" s="1"/>
  <c r="Q18" i="4"/>
  <c r="S18" i="4" s="1"/>
  <c r="Q17" i="4"/>
  <c r="S17" i="4" s="1"/>
  <c r="Q16" i="4"/>
  <c r="S16" i="4" s="1"/>
  <c r="Q15" i="4"/>
  <c r="Q38" i="4" s="1"/>
  <c r="Q14" i="4"/>
  <c r="S14" i="4" s="1"/>
  <c r="M11" i="4"/>
  <c r="L11" i="4"/>
  <c r="K11" i="4"/>
  <c r="J11" i="4"/>
  <c r="I11" i="4"/>
  <c r="H11" i="4"/>
  <c r="G11" i="4"/>
  <c r="F11" i="4"/>
  <c r="E11" i="4"/>
  <c r="D11" i="4"/>
  <c r="C11" i="4"/>
  <c r="B11" i="4"/>
  <c r="N11" i="4" s="1"/>
  <c r="N9" i="4" s="1"/>
  <c r="Q28" i="3"/>
  <c r="P28" i="3"/>
  <c r="O28" i="3"/>
  <c r="L24" i="3"/>
  <c r="J24" i="3"/>
  <c r="B24" i="3"/>
  <c r="L23" i="3"/>
  <c r="J23" i="3"/>
  <c r="B23" i="3"/>
  <c r="L22" i="3"/>
  <c r="J22" i="3"/>
  <c r="B22" i="3"/>
  <c r="L21" i="3"/>
  <c r="J21" i="3"/>
  <c r="B21" i="3"/>
  <c r="L20" i="3"/>
  <c r="J20" i="3"/>
  <c r="B20" i="3"/>
  <c r="L19" i="3"/>
  <c r="J19" i="3"/>
  <c r="B19" i="3"/>
  <c r="L18" i="3"/>
  <c r="J18" i="3"/>
  <c r="B18" i="3"/>
  <c r="L17" i="3"/>
  <c r="J17" i="3"/>
  <c r="B17" i="3"/>
  <c r="L16" i="3"/>
  <c r="J16" i="3"/>
  <c r="B16" i="3"/>
  <c r="L15" i="3"/>
  <c r="J15" i="3"/>
  <c r="B15" i="3"/>
  <c r="L14" i="3"/>
  <c r="J14" i="3"/>
  <c r="B14" i="3"/>
  <c r="L13" i="3"/>
  <c r="J13" i="3"/>
  <c r="B13" i="3"/>
  <c r="L12" i="3"/>
  <c r="J12" i="3"/>
  <c r="B12" i="3"/>
  <c r="X11" i="3"/>
  <c r="L11" i="3"/>
  <c r="J11" i="3"/>
  <c r="B11" i="3"/>
  <c r="L10" i="3"/>
  <c r="J10" i="3"/>
  <c r="B10" i="3"/>
  <c r="M229" i="1"/>
  <c r="L229" i="1"/>
  <c r="K229" i="1"/>
  <c r="D229" i="1"/>
  <c r="C229" i="1"/>
  <c r="B229" i="1"/>
  <c r="H228" i="1"/>
  <c r="W220" i="1" s="1"/>
  <c r="H227" i="1"/>
  <c r="W219" i="1" s="1"/>
  <c r="F222" i="1"/>
  <c r="G24" i="3" s="1"/>
  <c r="E222" i="1"/>
  <c r="F24" i="3" s="1"/>
  <c r="D222" i="1"/>
  <c r="C222" i="1"/>
  <c r="D24" i="3" s="1"/>
  <c r="M214" i="1"/>
  <c r="L214" i="1"/>
  <c r="K214" i="1"/>
  <c r="D214" i="1"/>
  <c r="C214" i="1"/>
  <c r="B214" i="1"/>
  <c r="H213" i="1"/>
  <c r="W205" i="1" s="1"/>
  <c r="H212" i="1"/>
  <c r="W204" i="1" s="1"/>
  <c r="F207" i="1"/>
  <c r="G23" i="3" s="1"/>
  <c r="E207" i="1"/>
  <c r="F23" i="3" s="1"/>
  <c r="D207" i="1"/>
  <c r="E23" i="3" s="1"/>
  <c r="C207" i="1"/>
  <c r="C23" i="3" s="1"/>
  <c r="H23" i="3" s="1"/>
  <c r="M199" i="1"/>
  <c r="L199" i="1"/>
  <c r="K199" i="1"/>
  <c r="D199" i="1"/>
  <c r="C199" i="1"/>
  <c r="B199" i="1"/>
  <c r="H198" i="1"/>
  <c r="W190" i="1" s="1"/>
  <c r="H197" i="1"/>
  <c r="W189" i="1" s="1"/>
  <c r="F192" i="1"/>
  <c r="G22" i="3" s="1"/>
  <c r="E192" i="1"/>
  <c r="F22" i="3" s="1"/>
  <c r="D192" i="1"/>
  <c r="C192" i="1"/>
  <c r="M184" i="1"/>
  <c r="L184" i="1"/>
  <c r="K184" i="1"/>
  <c r="N184" i="1" s="1"/>
  <c r="D184" i="1"/>
  <c r="C184" i="1"/>
  <c r="B184" i="1"/>
  <c r="E184" i="1" s="1"/>
  <c r="H183" i="1"/>
  <c r="W175" i="1" s="1"/>
  <c r="H182" i="1"/>
  <c r="W174" i="1" s="1"/>
  <c r="F177" i="1"/>
  <c r="G21" i="3" s="1"/>
  <c r="E177" i="1"/>
  <c r="F21" i="3" s="1"/>
  <c r="D177" i="1"/>
  <c r="E21" i="3" s="1"/>
  <c r="C177" i="1"/>
  <c r="D21" i="3" s="1"/>
  <c r="M169" i="1"/>
  <c r="L169" i="1"/>
  <c r="K169" i="1"/>
  <c r="D169" i="1"/>
  <c r="C169" i="1"/>
  <c r="B169" i="1"/>
  <c r="H168" i="1"/>
  <c r="W160" i="1" s="1"/>
  <c r="H167" i="1"/>
  <c r="W159" i="1" s="1"/>
  <c r="F162" i="1"/>
  <c r="G20" i="3" s="1"/>
  <c r="E162" i="1"/>
  <c r="F20" i="3" s="1"/>
  <c r="D162" i="1"/>
  <c r="C162" i="1"/>
  <c r="M154" i="1"/>
  <c r="N154" i="1" s="1"/>
  <c r="L154" i="1"/>
  <c r="K154" i="1"/>
  <c r="D154" i="1"/>
  <c r="E154" i="1" s="1"/>
  <c r="C154" i="1"/>
  <c r="B154" i="1"/>
  <c r="H153" i="1"/>
  <c r="W145" i="1" s="1"/>
  <c r="H152" i="1"/>
  <c r="W144" i="1" s="1"/>
  <c r="F147" i="1"/>
  <c r="G19" i="3" s="1"/>
  <c r="E147" i="1"/>
  <c r="F19" i="3" s="1"/>
  <c r="D147" i="1"/>
  <c r="E19" i="3" s="1"/>
  <c r="C147" i="1"/>
  <c r="M139" i="1"/>
  <c r="L139" i="1"/>
  <c r="K139" i="1"/>
  <c r="D139" i="1"/>
  <c r="C139" i="1"/>
  <c r="B139" i="1"/>
  <c r="H138" i="1"/>
  <c r="W130" i="1" s="1"/>
  <c r="H137" i="1"/>
  <c r="W129" i="1" s="1"/>
  <c r="F132" i="1"/>
  <c r="G18" i="3" s="1"/>
  <c r="E132" i="1"/>
  <c r="F18" i="3" s="1"/>
  <c r="D132" i="1"/>
  <c r="E18" i="3" s="1"/>
  <c r="C132" i="1"/>
  <c r="M124" i="1"/>
  <c r="L124" i="1"/>
  <c r="K124" i="1"/>
  <c r="D124" i="1"/>
  <c r="C124" i="1"/>
  <c r="B124" i="1"/>
  <c r="H123" i="1"/>
  <c r="W115" i="1" s="1"/>
  <c r="H122" i="1"/>
  <c r="W114" i="1" s="1"/>
  <c r="F117" i="1"/>
  <c r="G17" i="3" s="1"/>
  <c r="E117" i="1"/>
  <c r="F17" i="3" s="1"/>
  <c r="D117" i="1"/>
  <c r="C117" i="1"/>
  <c r="G116" i="1" s="1"/>
  <c r="M109" i="1"/>
  <c r="L109" i="1"/>
  <c r="K109" i="1"/>
  <c r="D109" i="1"/>
  <c r="C109" i="1"/>
  <c r="B109" i="1"/>
  <c r="E109" i="1" s="1"/>
  <c r="H108" i="1"/>
  <c r="W100" i="1" s="1"/>
  <c r="H107" i="1"/>
  <c r="W99" i="1" s="1"/>
  <c r="F102" i="1"/>
  <c r="G16" i="3" s="1"/>
  <c r="E102" i="1"/>
  <c r="D102" i="1"/>
  <c r="E16" i="3" s="1"/>
  <c r="C102" i="1"/>
  <c r="M94" i="1"/>
  <c r="L94" i="1"/>
  <c r="K94" i="1"/>
  <c r="D94" i="1"/>
  <c r="C94" i="1"/>
  <c r="B94" i="1"/>
  <c r="H93" i="1"/>
  <c r="W85" i="1" s="1"/>
  <c r="H92" i="1"/>
  <c r="W84" i="1" s="1"/>
  <c r="F87" i="1"/>
  <c r="G15" i="3" s="1"/>
  <c r="E87" i="1"/>
  <c r="F15" i="3" s="1"/>
  <c r="D87" i="1"/>
  <c r="E15" i="3" s="1"/>
  <c r="C87" i="1"/>
  <c r="D15" i="3" s="1"/>
  <c r="M79" i="1"/>
  <c r="L79" i="1"/>
  <c r="K79" i="1"/>
  <c r="D79" i="1"/>
  <c r="C79" i="1"/>
  <c r="B79" i="1"/>
  <c r="H78" i="1"/>
  <c r="W70" i="1" s="1"/>
  <c r="H77" i="1"/>
  <c r="W69" i="1" s="1"/>
  <c r="F72" i="1"/>
  <c r="G14" i="3" s="1"/>
  <c r="E72" i="1"/>
  <c r="F14" i="3" s="1"/>
  <c r="D72" i="1"/>
  <c r="E14" i="3" s="1"/>
  <c r="C72" i="1"/>
  <c r="P71" i="1"/>
  <c r="M64" i="1"/>
  <c r="L64" i="1"/>
  <c r="K64" i="1"/>
  <c r="N64" i="1" s="1"/>
  <c r="D64" i="1"/>
  <c r="C64" i="1"/>
  <c r="B64" i="1"/>
  <c r="E64" i="1" s="1"/>
  <c r="H63" i="1"/>
  <c r="W55" i="1" s="1"/>
  <c r="H62" i="1"/>
  <c r="W54" i="1" s="1"/>
  <c r="F57" i="1"/>
  <c r="G13" i="3" s="1"/>
  <c r="E57" i="1"/>
  <c r="D57" i="1"/>
  <c r="C57" i="1"/>
  <c r="M49" i="1"/>
  <c r="L49" i="1"/>
  <c r="K49" i="1"/>
  <c r="D49" i="1"/>
  <c r="C49" i="1"/>
  <c r="B49" i="1"/>
  <c r="E49" i="1" s="1"/>
  <c r="H48" i="1"/>
  <c r="W40" i="1" s="1"/>
  <c r="H47" i="1"/>
  <c r="W39" i="1" s="1"/>
  <c r="F42" i="1"/>
  <c r="G12" i="3" s="1"/>
  <c r="E42" i="1"/>
  <c r="F12" i="3" s="1"/>
  <c r="D42" i="1"/>
  <c r="E12" i="3" s="1"/>
  <c r="C42" i="1"/>
  <c r="M34" i="1"/>
  <c r="L34" i="1"/>
  <c r="K34" i="1"/>
  <c r="D34" i="1"/>
  <c r="C34" i="1"/>
  <c r="B34" i="1"/>
  <c r="F27" i="1"/>
  <c r="G11" i="3" s="1"/>
  <c r="E27" i="1"/>
  <c r="F11" i="3" s="1"/>
  <c r="D27" i="1"/>
  <c r="E11" i="3" s="1"/>
  <c r="C27" i="1"/>
  <c r="G26" i="1" s="1"/>
  <c r="M19" i="1"/>
  <c r="L19" i="1"/>
  <c r="K19" i="1"/>
  <c r="D19" i="1"/>
  <c r="C19" i="1"/>
  <c r="B19" i="1"/>
  <c r="F12" i="1"/>
  <c r="G10" i="3" s="1"/>
  <c r="E12" i="1"/>
  <c r="F10" i="3" s="1"/>
  <c r="D12" i="1"/>
  <c r="E10" i="3" s="1"/>
  <c r="C12" i="1"/>
  <c r="C22" i="3" l="1"/>
  <c r="G11" i="1"/>
  <c r="E19" i="1"/>
  <c r="N139" i="1"/>
  <c r="P176" i="1"/>
  <c r="P56" i="1"/>
  <c r="E94" i="1"/>
  <c r="P131" i="1"/>
  <c r="G191" i="1"/>
  <c r="N34" i="1"/>
  <c r="G101" i="1"/>
  <c r="E139" i="1"/>
  <c r="G161" i="1"/>
  <c r="G221" i="1"/>
  <c r="E34" i="1"/>
  <c r="P41" i="1"/>
  <c r="P86" i="1"/>
  <c r="P116" i="1"/>
  <c r="N124" i="1"/>
  <c r="C18" i="3"/>
  <c r="K18" i="3" s="1"/>
  <c r="P146" i="1"/>
  <c r="P161" i="1"/>
  <c r="C21" i="3"/>
  <c r="H21" i="3" s="1"/>
  <c r="E229" i="1"/>
  <c r="B25" i="3"/>
  <c r="G25" i="3"/>
  <c r="N19" i="1"/>
  <c r="P26" i="1"/>
  <c r="E124" i="1"/>
  <c r="N169" i="1"/>
  <c r="E214" i="1"/>
  <c r="P221" i="1"/>
  <c r="C10" i="3"/>
  <c r="D10" i="3"/>
  <c r="D12" i="3"/>
  <c r="C12" i="3"/>
  <c r="H12" i="3" s="1"/>
  <c r="G41" i="1"/>
  <c r="N49" i="1"/>
  <c r="E79" i="1"/>
  <c r="H22" i="3"/>
  <c r="K22" i="3"/>
  <c r="F13" i="3"/>
  <c r="G56" i="1"/>
  <c r="H18" i="3"/>
  <c r="P11" i="1"/>
  <c r="D11" i="3"/>
  <c r="C11" i="3"/>
  <c r="C14" i="3"/>
  <c r="G71" i="1"/>
  <c r="D14" i="3"/>
  <c r="P206" i="1"/>
  <c r="G206" i="1"/>
  <c r="E13" i="3"/>
  <c r="F16" i="3"/>
  <c r="F25" i="3" s="1"/>
  <c r="E17" i="3"/>
  <c r="D18" i="3"/>
  <c r="D22" i="3"/>
  <c r="S38" i="4"/>
  <c r="R38" i="4" s="1"/>
  <c r="P101" i="1"/>
  <c r="E169" i="1"/>
  <c r="P191" i="1"/>
  <c r="E22" i="3"/>
  <c r="N199" i="1"/>
  <c r="C13" i="3"/>
  <c r="H13" i="3" s="1"/>
  <c r="G86" i="1"/>
  <c r="D16" i="3"/>
  <c r="C16" i="3"/>
  <c r="H16" i="3" s="1"/>
  <c r="G131" i="1"/>
  <c r="G146" i="1"/>
  <c r="D19" i="3"/>
  <c r="E199" i="1"/>
  <c r="K10" i="3"/>
  <c r="S15" i="4"/>
  <c r="C17" i="3"/>
  <c r="H17" i="3" s="1"/>
  <c r="D20" i="3"/>
  <c r="C20" i="3"/>
  <c r="H20" i="3" s="1"/>
  <c r="D13" i="3"/>
  <c r="K13" i="3"/>
  <c r="C15" i="3"/>
  <c r="D17" i="3"/>
  <c r="C19" i="3"/>
  <c r="E20" i="3"/>
  <c r="K23" i="3"/>
  <c r="E24" i="3"/>
  <c r="D23" i="3"/>
  <c r="C24" i="3"/>
  <c r="H24" i="3" s="1"/>
  <c r="J25" i="3"/>
  <c r="G176" i="1"/>
  <c r="K16" i="3" l="1"/>
  <c r="K12" i="3"/>
  <c r="I12" i="3" s="1"/>
  <c r="K21" i="3"/>
  <c r="I21" i="3" s="1"/>
  <c r="E25" i="3"/>
  <c r="I23" i="3"/>
  <c r="S23" i="3"/>
  <c r="K17" i="3"/>
  <c r="S12" i="3"/>
  <c r="S16" i="3"/>
  <c r="I16" i="3"/>
  <c r="S10" i="3"/>
  <c r="I10" i="3"/>
  <c r="H14" i="3"/>
  <c r="K14" i="3"/>
  <c r="S21" i="3"/>
  <c r="K24" i="3"/>
  <c r="H15" i="3"/>
  <c r="K15" i="3"/>
  <c r="K20" i="3"/>
  <c r="K11" i="3"/>
  <c r="H11" i="3"/>
  <c r="D25" i="3"/>
  <c r="H19" i="3"/>
  <c r="K19" i="3"/>
  <c r="S13" i="3"/>
  <c r="I13" i="3"/>
  <c r="S18" i="3"/>
  <c r="I18" i="3"/>
  <c r="S22" i="3"/>
  <c r="I22" i="3"/>
  <c r="C25" i="3"/>
  <c r="H25" i="3" s="1"/>
  <c r="H10" i="3"/>
  <c r="S14" i="3" l="1"/>
  <c r="I14" i="3"/>
  <c r="J41" i="1"/>
  <c r="V37" i="1" s="1"/>
  <c r="R12" i="3"/>
  <c r="K25" i="3"/>
  <c r="I25" i="3" s="1"/>
  <c r="I19" i="3"/>
  <c r="S19" i="3"/>
  <c r="S11" i="3"/>
  <c r="I11" i="3"/>
  <c r="S24" i="3"/>
  <c r="I24" i="3"/>
  <c r="S17" i="3"/>
  <c r="I17" i="3"/>
  <c r="R22" i="3"/>
  <c r="J191" i="1"/>
  <c r="V187" i="1" s="1"/>
  <c r="R18" i="3"/>
  <c r="J131" i="1"/>
  <c r="V127" i="1" s="1"/>
  <c r="S20" i="3"/>
  <c r="I20" i="3"/>
  <c r="R16" i="3"/>
  <c r="J101" i="1"/>
  <c r="V97" i="1" s="1"/>
  <c r="R23" i="3"/>
  <c r="J206" i="1"/>
  <c r="V202" i="1" s="1"/>
  <c r="R13" i="3"/>
  <c r="J56" i="1"/>
  <c r="V52" i="1" s="1"/>
  <c r="I15" i="3"/>
  <c r="S15" i="3"/>
  <c r="J176" i="1"/>
  <c r="V172" i="1" s="1"/>
  <c r="R21" i="3"/>
  <c r="R10" i="3"/>
  <c r="J11" i="1"/>
  <c r="V7" i="1" s="1"/>
  <c r="S25" i="3" l="1"/>
  <c r="J161" i="1"/>
  <c r="V157" i="1" s="1"/>
  <c r="R20" i="3"/>
  <c r="R17" i="3"/>
  <c r="J116" i="1"/>
  <c r="V112" i="1" s="1"/>
  <c r="R11" i="3"/>
  <c r="J26" i="1"/>
  <c r="V22" i="1" s="1"/>
  <c r="R24" i="3"/>
  <c r="J221" i="1"/>
  <c r="V217" i="1" s="1"/>
  <c r="R15" i="3"/>
  <c r="J86" i="1"/>
  <c r="V82" i="1" s="1"/>
  <c r="R19" i="3"/>
  <c r="J146" i="1"/>
  <c r="V142" i="1" s="1"/>
  <c r="R14" i="3"/>
  <c r="J71" i="1"/>
  <c r="V67" i="1" s="1"/>
</calcChain>
</file>

<file path=xl/sharedStrings.xml><?xml version="1.0" encoding="utf-8"?>
<sst xmlns="http://schemas.openxmlformats.org/spreadsheetml/2006/main" count="3524" uniqueCount="968">
  <si>
    <t>Estado do Paraná</t>
  </si>
  <si>
    <t>Intervalos determinados pelo dobro e metade da média paranaense.</t>
  </si>
  <si>
    <t>Secretaria da Agricultura e do Abastecimento</t>
  </si>
  <si>
    <t>Departamento de Economia Rural</t>
  </si>
  <si>
    <t>BS</t>
  </si>
  <si>
    <t>NS</t>
  </si>
  <si>
    <t>AS</t>
  </si>
  <si>
    <t>ABATE</t>
  </si>
  <si>
    <t>TdO</t>
  </si>
  <si>
    <t>leite</t>
  </si>
  <si>
    <t>Safra:</t>
  </si>
  <si>
    <t>20/21</t>
  </si>
  <si>
    <t>SAFRA</t>
  </si>
  <si>
    <t>CODMUN</t>
  </si>
  <si>
    <t>COD_CUL</t>
  </si>
  <si>
    <t>AREA</t>
  </si>
  <si>
    <t>PRODUCAO</t>
  </si>
  <si>
    <t>PESO</t>
  </si>
  <si>
    <t>VALOR</t>
  </si>
  <si>
    <t>MUNICÍPIO:</t>
  </si>
  <si>
    <t>'0165</t>
  </si>
  <si>
    <t>ARAPUÃ</t>
  </si>
  <si>
    <t>LEITE DE VACA</t>
  </si>
  <si>
    <t>ESTERCOS</t>
  </si>
  <si>
    <t>Esterco Bovino - Confinados</t>
  </si>
  <si>
    <t>kg/dia.animal</t>
  </si>
  <si>
    <t>t/ano.animal</t>
  </si>
  <si>
    <t>PLANTEL</t>
  </si>
  <si>
    <t>Gado leiteiro</t>
  </si>
  <si>
    <t>Gado de corte</t>
  </si>
  <si>
    <t>Pastagens (HA)</t>
  </si>
  <si>
    <t>Leite (mil litros)</t>
  </si>
  <si>
    <t>Taxa de ocupação</t>
  </si>
  <si>
    <t>7010</t>
  </si>
  <si>
    <t xml:space="preserve">BOVINO   (BOI GORDO)  </t>
  </si>
  <si>
    <t>Esterco Bovivo - Leiteiro não-confinado</t>
  </si>
  <si>
    <t>Confinado</t>
  </si>
  <si>
    <t>Não conf.</t>
  </si>
  <si>
    <t>7025</t>
  </si>
  <si>
    <t>VACA   (PARA CORTE)</t>
  </si>
  <si>
    <t>NÚMERO DE ANIMAIS</t>
  </si>
  <si>
    <t>VITELO</t>
  </si>
  <si>
    <t>7015</t>
  </si>
  <si>
    <t>BEZERROS</t>
  </si>
  <si>
    <t>7016</t>
  </si>
  <si>
    <t>BEZERRAS</t>
  </si>
  <si>
    <t>GTA</t>
  </si>
  <si>
    <t>ABATIDOS</t>
  </si>
  <si>
    <t>PESO DE ABATE</t>
  </si>
  <si>
    <t>PESO MÉDIO (sem vitelo)</t>
  </si>
  <si>
    <t>COMERCIALIZADOS VIVOS</t>
  </si>
  <si>
    <t>*Touros com registro</t>
  </si>
  <si>
    <t>7017</t>
  </si>
  <si>
    <t>GARROTES</t>
  </si>
  <si>
    <t>Comum</t>
  </si>
  <si>
    <t>Precoce</t>
  </si>
  <si>
    <t>Vitelo</t>
  </si>
  <si>
    <t>Bezerro(a)</t>
  </si>
  <si>
    <t>Novilho(a)</t>
  </si>
  <si>
    <t>Touros/ Vacas</t>
  </si>
  <si>
    <t>7018</t>
  </si>
  <si>
    <t>NOVILHAS</t>
  </si>
  <si>
    <t xml:space="preserve"> PC</t>
  </si>
  <si>
    <t>PO corte</t>
  </si>
  <si>
    <t>PO leite</t>
  </si>
  <si>
    <t>7024</t>
  </si>
  <si>
    <t>VACA   (PARA CRIA)</t>
  </si>
  <si>
    <t>MACHOS</t>
  </si>
  <si>
    <t>TOURO PC   (COM REGISTRO)</t>
  </si>
  <si>
    <t>FÊMEAS</t>
  </si>
  <si>
    <t>TOURO PO   (REPROD. P/GADO DE CORTE)</t>
  </si>
  <si>
    <t>sub-índices</t>
  </si>
  <si>
    <t>TOURO PO   (REPROD. P/GADO DE LEITE)</t>
  </si>
  <si>
    <t>7019</t>
  </si>
  <si>
    <t>TOUROS</t>
  </si>
  <si>
    <t>3500</t>
  </si>
  <si>
    <t>PASTAGENS</t>
  </si>
  <si>
    <t>'0185</t>
  </si>
  <si>
    <t>ARIRANHA DO IVAI</t>
  </si>
  <si>
    <t>'0330</t>
  </si>
  <si>
    <t>BORRAZÓPOLIS</t>
  </si>
  <si>
    <t>'0685</t>
  </si>
  <si>
    <t>CRUZMALTINA</t>
  </si>
  <si>
    <t>'0760</t>
  </si>
  <si>
    <t>FAXINAL</t>
  </si>
  <si>
    <t>'0855</t>
  </si>
  <si>
    <t>GODOY MOREIRA</t>
  </si>
  <si>
    <t>'0870</t>
  </si>
  <si>
    <t>GRANDES RIOS</t>
  </si>
  <si>
    <t>'1150</t>
  </si>
  <si>
    <t>IVAIPORA</t>
  </si>
  <si>
    <t>'1250</t>
  </si>
  <si>
    <t>JARDIM ALEGRE</t>
  </si>
  <si>
    <t>'1342</t>
  </si>
  <si>
    <t>LIDIANÓPOLIS</t>
  </si>
  <si>
    <t>'1375</t>
  </si>
  <si>
    <t>LUNARDELLI</t>
  </si>
  <si>
    <t>,</t>
  </si>
  <si>
    <t>'2217</t>
  </si>
  <si>
    <t>RIO BRANCO DO IVAI</t>
  </si>
  <si>
    <t>'2265</t>
  </si>
  <si>
    <t>ROSARIO DO IVAI</t>
  </si>
  <si>
    <t>'2500</t>
  </si>
  <si>
    <t>SAO JOAO DO IVAI</t>
  </si>
  <si>
    <t>'2580</t>
  </si>
  <si>
    <t>SAO PEDRO DO IVAI</t>
  </si>
  <si>
    <t>SECRETARIA DE ESTADO DA AGRICULTURA E DO ABASTECIMENTO DO PARANÁ</t>
  </si>
  <si>
    <t>DEPARTAMENTO DE ECONOMIA RURAL - DERAL   -   DIVISÃO DE ESTATÍSTICAS BÁSICAS - DEB</t>
  </si>
  <si>
    <t>FUNDO DE PARTICIPAÇÃO DOS MUNICÍPIOS - FORMULÁRIO DE PRODUTOS DO FPM 1998/99</t>
  </si>
  <si>
    <t>GRP</t>
  </si>
  <si>
    <t>COD</t>
  </si>
  <si>
    <t>PRODUTOS</t>
  </si>
  <si>
    <t>UNIDADE</t>
  </si>
  <si>
    <t>Origem dos PREÇOS</t>
  </si>
  <si>
    <t>OBS</t>
  </si>
  <si>
    <t>Levantar PREÇOS</t>
  </si>
  <si>
    <t>Tem no LPA</t>
  </si>
  <si>
    <t>Levantar Produção</t>
  </si>
  <si>
    <t>1. GRÃOS DE VERÃO</t>
  </si>
  <si>
    <t>DE COLETA</t>
  </si>
  <si>
    <t>FPM</t>
  </si>
  <si>
    <t>0013</t>
  </si>
  <si>
    <t>AMENDOIM DA SECA</t>
  </si>
  <si>
    <t>sc25kg</t>
  </si>
  <si>
    <t>TON</t>
  </si>
  <si>
    <t>A</t>
  </si>
  <si>
    <t>Semanal</t>
  </si>
  <si>
    <t>X</t>
  </si>
  <si>
    <t>0012</t>
  </si>
  <si>
    <t>AMENDOIM DAS AGUAS</t>
  </si>
  <si>
    <t>0005</t>
  </si>
  <si>
    <t>ARROZ IRRIGADO</t>
  </si>
  <si>
    <t>sc50kg</t>
  </si>
  <si>
    <t>0014</t>
  </si>
  <si>
    <t>ARROZ SEQUEIRO</t>
  </si>
  <si>
    <t>sc60kg</t>
  </si>
  <si>
    <t>0040</t>
  </si>
  <si>
    <t>CAFE</t>
  </si>
  <si>
    <t>kg/renda</t>
  </si>
  <si>
    <t>0093</t>
  </si>
  <si>
    <t>FEIJAO DA SECA</t>
  </si>
  <si>
    <t>0092</t>
  </si>
  <si>
    <t>FEIJAO DAS AGUAS</t>
  </si>
  <si>
    <t>0094</t>
  </si>
  <si>
    <t>FEIJAO DE INVERNO</t>
  </si>
  <si>
    <t>0110</t>
  </si>
  <si>
    <t>GIRASSOL</t>
  </si>
  <si>
    <t>Coletar</t>
  </si>
  <si>
    <t>0197</t>
  </si>
  <si>
    <t>MILHO-PIPOCA</t>
  </si>
  <si>
    <t>0199</t>
  </si>
  <si>
    <t>MILHO SAFRA NORMAL</t>
  </si>
  <si>
    <t>0198</t>
  </si>
  <si>
    <t>MILHO SAFRINHA</t>
  </si>
  <si>
    <t>3853</t>
  </si>
  <si>
    <t>MILHO VERDE</t>
  </si>
  <si>
    <t>unidade</t>
  </si>
  <si>
    <t>UNI</t>
  </si>
  <si>
    <t>0196</t>
  </si>
  <si>
    <t>MILHO WAIXI</t>
  </si>
  <si>
    <t>0302</t>
  </si>
  <si>
    <t>SOJA SAFRA NORMAL</t>
  </si>
  <si>
    <t>0303</t>
  </si>
  <si>
    <t>SOJA SAFRINHA</t>
  </si>
  <si>
    <t>3580</t>
  </si>
  <si>
    <t>SORGO</t>
  </si>
  <si>
    <t>Z</t>
  </si>
  <si>
    <t>2. GRÃOS DE INVERNO</t>
  </si>
  <si>
    <t>*</t>
  </si>
  <si>
    <t>AVEIA BRANCA</t>
  </si>
  <si>
    <t>tonelada</t>
  </si>
  <si>
    <t>3521</t>
  </si>
  <si>
    <t>AVEIA PRETA (GRAO)</t>
  </si>
  <si>
    <t>0050</t>
  </si>
  <si>
    <t>CANOLA</t>
  </si>
  <si>
    <t>0044</t>
  </si>
  <si>
    <t>CENTEIO</t>
  </si>
  <si>
    <t>0043</t>
  </si>
  <si>
    <t>CEVADA</t>
  </si>
  <si>
    <t>0330</t>
  </si>
  <si>
    <t>TRIGO</t>
  </si>
  <si>
    <t>0310</t>
  </si>
  <si>
    <t>TRIGO MOURISCO</t>
  </si>
  <si>
    <t>0340</t>
  </si>
  <si>
    <t>TRITICALE</t>
  </si>
  <si>
    <t>3. FRIBRAS</t>
  </si>
  <si>
    <t>0001</t>
  </si>
  <si>
    <t>ALGODAO</t>
  </si>
  <si>
    <t>arroba</t>
  </si>
  <si>
    <t>5100</t>
  </si>
  <si>
    <r>
      <rPr>
        <sz val="10"/>
        <color rgb="FF000000"/>
        <rFont val="Arial1"/>
        <charset val="1"/>
      </rPr>
      <t>FIBRAS - OUTRAS (</t>
    </r>
    <r>
      <rPr>
        <b/>
        <sz val="10"/>
        <color rgb="FF000000"/>
        <rFont val="Arial"/>
        <family val="2"/>
        <charset val="1"/>
      </rPr>
      <t>vime</t>
    </r>
    <r>
      <rPr>
        <sz val="10"/>
        <color rgb="FF000000"/>
        <rFont val="Arial"/>
        <family val="2"/>
        <charset val="1"/>
      </rPr>
      <t>)</t>
    </r>
  </si>
  <si>
    <t>kg</t>
  </si>
  <si>
    <t>KG</t>
  </si>
  <si>
    <t>0205</t>
  </si>
  <si>
    <t>RAMI</t>
  </si>
  <si>
    <t>0301</t>
  </si>
  <si>
    <t>SISAL</t>
  </si>
  <si>
    <t>4. OUTROS PRODUTOS</t>
  </si>
  <si>
    <t>0041</t>
  </si>
  <si>
    <t>CANA-DE-ACUCAR</t>
  </si>
  <si>
    <t>ton</t>
  </si>
  <si>
    <t>2093</t>
  </si>
  <si>
    <t>COGUMELO</t>
  </si>
  <si>
    <t>0091</t>
  </si>
  <si>
    <t>FUMO</t>
  </si>
  <si>
    <t>B</t>
  </si>
  <si>
    <t>0202</t>
  </si>
  <si>
    <t>MAMONA</t>
  </si>
  <si>
    <t>MANDIOCA CONSUMO</t>
  </si>
  <si>
    <t>H</t>
  </si>
  <si>
    <t>0203</t>
  </si>
  <si>
    <t>MANDIOCA  INDÚSTRIA</t>
  </si>
  <si>
    <t>2304</t>
  </si>
  <si>
    <t>PORONGO (CUIA)</t>
  </si>
  <si>
    <t>uni</t>
  </si>
  <si>
    <t>1903</t>
  </si>
  <si>
    <r>
      <rPr>
        <sz val="10"/>
        <color rgb="FF000000"/>
        <rFont val="Arial1"/>
        <charset val="1"/>
      </rPr>
      <t xml:space="preserve">URUCUM ( </t>
    </r>
    <r>
      <rPr>
        <b/>
        <sz val="10"/>
        <color rgb="FF000000"/>
        <rFont val="Arial"/>
        <family val="2"/>
        <charset val="1"/>
      </rPr>
      <t>só grãos com caroço</t>
    </r>
    <r>
      <rPr>
        <sz val="10"/>
        <color rgb="FF000000"/>
        <rFont val="Arial"/>
        <family val="2"/>
        <charset val="1"/>
      </rPr>
      <t>)</t>
    </r>
  </si>
  <si>
    <t>5. HORTALIÇAS</t>
  </si>
  <si>
    <t>2012</t>
  </si>
  <si>
    <t>ABOBORA-TETSUKABUTO (KABOTIA)</t>
  </si>
  <si>
    <t>2002</t>
  </si>
  <si>
    <r>
      <rPr>
        <sz val="10"/>
        <color rgb="FF000000"/>
        <rFont val="Arial1"/>
        <charset val="1"/>
      </rPr>
      <t>ABOBORA (</t>
    </r>
    <r>
      <rPr>
        <b/>
        <sz val="10"/>
        <color rgb="FF000000"/>
        <rFont val="Arial"/>
        <family val="2"/>
        <charset val="1"/>
      </rPr>
      <t>seca/madura)</t>
    </r>
  </si>
  <si>
    <t>2016</t>
  </si>
  <si>
    <r>
      <rPr>
        <sz val="10"/>
        <color rgb="FF000000"/>
        <rFont val="Arial1"/>
        <charset val="1"/>
      </rPr>
      <t>ABOBRINHA (</t>
    </r>
    <r>
      <rPr>
        <b/>
        <sz val="10"/>
        <color rgb="FF000000"/>
        <rFont val="Arial"/>
        <family val="2"/>
        <charset val="1"/>
      </rPr>
      <t>verde</t>
    </r>
    <r>
      <rPr>
        <sz val="10"/>
        <color rgb="FF000000"/>
        <rFont val="Arial"/>
        <family val="2"/>
        <charset val="1"/>
      </rPr>
      <t>)</t>
    </r>
  </si>
  <si>
    <t>2007</t>
  </si>
  <si>
    <r>
      <rPr>
        <sz val="10"/>
        <color rgb="FF000000"/>
        <rFont val="Arial1"/>
        <charset val="1"/>
      </rPr>
      <t xml:space="preserve">ACELGA </t>
    </r>
    <r>
      <rPr>
        <b/>
        <sz val="10"/>
        <color rgb="FF000000"/>
        <rFont val="Arial"/>
        <family val="2"/>
        <charset val="1"/>
      </rPr>
      <t>(couve chinesa)</t>
    </r>
  </si>
  <si>
    <t>C</t>
  </si>
  <si>
    <t>2006</t>
  </si>
  <si>
    <t>AGRIAO AQUATICO</t>
  </si>
  <si>
    <r>
      <rPr>
        <sz val="10"/>
        <color rgb="FF000000"/>
        <rFont val="Arial1"/>
        <charset val="1"/>
      </rPr>
      <t>ALCACHOFRA (</t>
    </r>
    <r>
      <rPr>
        <b/>
        <sz val="10"/>
        <color rgb="FF000000"/>
        <rFont val="Arial"/>
        <family val="2"/>
        <charset val="1"/>
      </rPr>
      <t>fruto</t>
    </r>
    <r>
      <rPr>
        <sz val="10"/>
        <color rgb="FF000000"/>
        <rFont val="Arial"/>
        <family val="2"/>
        <charset val="1"/>
      </rPr>
      <t>)</t>
    </r>
  </si>
  <si>
    <t>2001</t>
  </si>
  <si>
    <t>ALFACE</t>
  </si>
  <si>
    <t>9kg</t>
  </si>
  <si>
    <t>2004</t>
  </si>
  <si>
    <t>ALHO</t>
  </si>
  <si>
    <t>2005</t>
  </si>
  <si>
    <t>ALHO PORO</t>
  </si>
  <si>
    <t>2009</t>
  </si>
  <si>
    <t>ALMEIRAO</t>
  </si>
  <si>
    <t>2047</t>
  </si>
  <si>
    <t>BATATA DA SECA (COMUM)</t>
  </si>
  <si>
    <t>2049</t>
  </si>
  <si>
    <t>BATATA DA SECA (LISA)</t>
  </si>
  <si>
    <t>2046</t>
  </si>
  <si>
    <t>BATATA DAS AGUAS (COMUM)</t>
  </si>
  <si>
    <t>2048</t>
  </si>
  <si>
    <t>BATATA DAS AGUAS (LISA)</t>
  </si>
  <si>
    <t>2044</t>
  </si>
  <si>
    <t>BATATA DOCE</t>
  </si>
  <si>
    <t>2045</t>
  </si>
  <si>
    <t>BATATA SALSA</t>
  </si>
  <si>
    <t>2042</t>
  </si>
  <si>
    <t>BERINJELA</t>
  </si>
  <si>
    <t>2043</t>
  </si>
  <si>
    <t>BETERRABA</t>
  </si>
  <si>
    <t>23kg</t>
  </si>
  <si>
    <t>2041</t>
  </si>
  <si>
    <t>BROCOLOS</t>
  </si>
  <si>
    <t>3502</t>
  </si>
  <si>
    <t>BROTO DE ALFAFA</t>
  </si>
  <si>
    <t>2089</t>
  </si>
  <si>
    <t>CARA</t>
  </si>
  <si>
    <t>2090</t>
  </si>
  <si>
    <t>CEBOLA</t>
  </si>
  <si>
    <t>20kg</t>
  </si>
  <si>
    <t>2091</t>
  </si>
  <si>
    <r>
      <rPr>
        <sz val="10"/>
        <color rgb="FF000000"/>
        <rFont val="Arial1"/>
        <charset val="1"/>
      </rPr>
      <t xml:space="preserve">CEBOLINHA </t>
    </r>
    <r>
      <rPr>
        <b/>
        <sz val="10"/>
        <color rgb="FF000000"/>
        <rFont val="Arial"/>
        <family val="2"/>
        <charset val="1"/>
      </rPr>
      <t>(cheiro verde)</t>
    </r>
  </si>
  <si>
    <t>2088</t>
  </si>
  <si>
    <t>CENOURA</t>
  </si>
  <si>
    <t>2085</t>
  </si>
  <si>
    <t>CHICORIA</t>
  </si>
  <si>
    <t>2086</t>
  </si>
  <si>
    <t>CHUCHU</t>
  </si>
  <si>
    <t>2080</t>
  </si>
  <si>
    <t>COUVE</t>
  </si>
  <si>
    <t>2081</t>
  </si>
  <si>
    <t>COUVE-FLOR</t>
  </si>
  <si>
    <t>dz</t>
  </si>
  <si>
    <t>2110</t>
  </si>
  <si>
    <t>ERVILHA</t>
  </si>
  <si>
    <t>1650</t>
  </si>
  <si>
    <t>ESCAROLA</t>
  </si>
  <si>
    <t>2111</t>
  </si>
  <si>
    <t>ESPINAFRE</t>
  </si>
  <si>
    <t>2141</t>
  </si>
  <si>
    <t>FEIJAO-VAGEM</t>
  </si>
  <si>
    <t>0095</t>
  </si>
  <si>
    <t>FEIJAO CAUPI</t>
  </si>
  <si>
    <t>2220</t>
  </si>
  <si>
    <t>INHAME</t>
  </si>
  <si>
    <t>2250</t>
  </si>
  <si>
    <t>JILO</t>
  </si>
  <si>
    <t>MORANGA</t>
  </si>
  <si>
    <t>2320</t>
  </si>
  <si>
    <t>NABO</t>
  </si>
  <si>
    <t>2353</t>
  </si>
  <si>
    <t>PEPINO</t>
  </si>
  <si>
    <t>22kg</t>
  </si>
  <si>
    <t>2352</t>
  </si>
  <si>
    <t>PIMENTA</t>
  </si>
  <si>
    <t>2350</t>
  </si>
  <si>
    <t>PIMENTAO</t>
  </si>
  <si>
    <t>13kg</t>
  </si>
  <si>
    <t>2370</t>
  </si>
  <si>
    <t>QUIABO</t>
  </si>
  <si>
    <t>2391</t>
  </si>
  <si>
    <t>RABANETE</t>
  </si>
  <si>
    <t>2390</t>
  </si>
  <si>
    <t>REPOLHO</t>
  </si>
  <si>
    <t>28kg</t>
  </si>
  <si>
    <t>0070</t>
  </si>
  <si>
    <t>RUCULA</t>
  </si>
  <si>
    <t>2420</t>
  </si>
  <si>
    <t>SALSA</t>
  </si>
  <si>
    <t>2419</t>
  </si>
  <si>
    <t>SALSAO</t>
  </si>
  <si>
    <t>2457</t>
  </si>
  <si>
    <t>TOMATE RISCO</t>
  </si>
  <si>
    <t>2456</t>
  </si>
  <si>
    <t>TOMATE SAFRAO</t>
  </si>
  <si>
    <t>1922</t>
  </si>
  <si>
    <t>UVA VINIFERA</t>
  </si>
  <si>
    <t>6. FRUTAS</t>
  </si>
  <si>
    <t>1502</t>
  </si>
  <si>
    <t>ABACATE</t>
  </si>
  <si>
    <t>1501</t>
  </si>
  <si>
    <t>ABACAXI</t>
  </si>
  <si>
    <t>0015</t>
  </si>
  <si>
    <t>ACEROLA</t>
  </si>
  <si>
    <t>1504</t>
  </si>
  <si>
    <t>AMEIXA</t>
  </si>
  <si>
    <t>1508</t>
  </si>
  <si>
    <r>
      <rPr>
        <sz val="10"/>
        <color rgb="FF000000"/>
        <rFont val="Arial1"/>
        <charset val="1"/>
      </rPr>
      <t xml:space="preserve">AMORA </t>
    </r>
    <r>
      <rPr>
        <b/>
        <sz val="10"/>
        <color rgb="FF000000"/>
        <rFont val="Arial"/>
        <family val="2"/>
        <charset val="1"/>
      </rPr>
      <t>(fruto)</t>
    </r>
  </si>
  <si>
    <t>1520</t>
  </si>
  <si>
    <t>BANANA</t>
  </si>
  <si>
    <t>1556</t>
  </si>
  <si>
    <t>CAQUI</t>
  </si>
  <si>
    <t>1555</t>
  </si>
  <si>
    <t>COCO VERDE</t>
  </si>
  <si>
    <t>1690</t>
  </si>
  <si>
    <t>FIGO</t>
  </si>
  <si>
    <t>1720</t>
  </si>
  <si>
    <t>GOIABA</t>
  </si>
  <si>
    <t>1780</t>
  </si>
  <si>
    <t>JABUTICABA</t>
  </si>
  <si>
    <t>1782</t>
  </si>
  <si>
    <t>JACA</t>
  </si>
  <si>
    <t>0555</t>
  </si>
  <si>
    <t>KIWI</t>
  </si>
  <si>
    <t>1561</t>
  </si>
  <si>
    <t>LARANJA</t>
  </si>
  <si>
    <t>LICHIA</t>
  </si>
  <si>
    <t>1562</t>
  </si>
  <si>
    <t>LIMAO</t>
  </si>
  <si>
    <t>1801</t>
  </si>
  <si>
    <t>MACA</t>
  </si>
  <si>
    <t>1802</t>
  </si>
  <si>
    <t>MAMAO</t>
  </si>
  <si>
    <t>1800</t>
  </si>
  <si>
    <t>MANGA</t>
  </si>
  <si>
    <t>1803</t>
  </si>
  <si>
    <t>MARACUJA</t>
  </si>
  <si>
    <t>1804</t>
  </si>
  <si>
    <t>MARMELO</t>
  </si>
  <si>
    <t>1807</t>
  </si>
  <si>
    <t>MELANCIA</t>
  </si>
  <si>
    <t>1806</t>
  </si>
  <si>
    <t>MELAO</t>
  </si>
  <si>
    <t>1805</t>
  </si>
  <si>
    <t>MORANGO (Moranguinho)</t>
  </si>
  <si>
    <t>1831</t>
  </si>
  <si>
    <t>NECTARINA</t>
  </si>
  <si>
    <t>NOZ MACADÂMIA</t>
  </si>
  <si>
    <t>???</t>
  </si>
  <si>
    <t>Falta unidade</t>
  </si>
  <si>
    <t>1833</t>
  </si>
  <si>
    <t>NOZ PECAN</t>
  </si>
  <si>
    <t>1830</t>
  </si>
  <si>
    <r>
      <rPr>
        <sz val="10"/>
        <color rgb="FF000000"/>
        <rFont val="Arial1"/>
        <charset val="1"/>
      </rPr>
      <t xml:space="preserve">NOZES </t>
    </r>
    <r>
      <rPr>
        <b/>
        <sz val="10"/>
        <color rgb="FF000000"/>
        <rFont val="Arial"/>
        <family val="2"/>
        <charset val="1"/>
      </rPr>
      <t>(outras)</t>
    </r>
  </si>
  <si>
    <t>1861</t>
  </si>
  <si>
    <t>PERA</t>
  </si>
  <si>
    <t>1860</t>
  </si>
  <si>
    <t>PESSEGO</t>
  </si>
  <si>
    <t>1563</t>
  </si>
  <si>
    <t>TANGERINA</t>
  </si>
  <si>
    <t>1515</t>
  </si>
  <si>
    <t>TANGERINA MURCOTE</t>
  </si>
  <si>
    <t>1921</t>
  </si>
  <si>
    <t>UVA DA MESA</t>
  </si>
  <si>
    <t>7. ESPECIARIAS</t>
  </si>
  <si>
    <r>
      <rPr>
        <sz val="10"/>
        <color rgb="FF000000"/>
        <rFont val="Arial1"/>
        <charset val="1"/>
      </rPr>
      <t xml:space="preserve">ALCACHOFRA </t>
    </r>
    <r>
      <rPr>
        <b/>
        <sz val="10"/>
        <color rgb="FF000000"/>
        <rFont val="Arial"/>
        <family val="2"/>
        <charset val="1"/>
      </rPr>
      <t>(folhas</t>
    </r>
    <r>
      <rPr>
        <sz val="10"/>
        <color rgb="FF000000"/>
        <rFont val="Arial"/>
        <family val="2"/>
        <charset val="1"/>
      </rPr>
      <t>)</t>
    </r>
  </si>
  <si>
    <t>0085</t>
  </si>
  <si>
    <t>ALECRIM</t>
  </si>
  <si>
    <t>2013</t>
  </si>
  <si>
    <t>ALFAVACA / MANJERICÃO</t>
  </si>
  <si>
    <t>2014</t>
  </si>
  <si>
    <t>ARRUDA</t>
  </si>
  <si>
    <t>0049</t>
  </si>
  <si>
    <r>
      <rPr>
        <sz val="10"/>
        <color rgb="FF000000"/>
        <rFont val="Arial1"/>
        <charset val="1"/>
      </rPr>
      <t xml:space="preserve">CAMOMILA </t>
    </r>
    <r>
      <rPr>
        <b/>
        <sz val="10"/>
        <color rgb="FF000000"/>
        <rFont val="Arial"/>
        <family val="2"/>
        <charset val="1"/>
      </rPr>
      <t>(seca /desidrata)</t>
    </r>
  </si>
  <si>
    <t>3528</t>
  </si>
  <si>
    <r>
      <rPr>
        <sz val="10"/>
        <color rgb="FF000000"/>
        <rFont val="Arial1"/>
        <charset val="1"/>
      </rPr>
      <t>CAPIM LIMAO / CAPIM SANTO</t>
    </r>
    <r>
      <rPr>
        <b/>
        <sz val="10"/>
        <color rgb="FF000000"/>
        <rFont val="Arial"/>
        <family val="2"/>
        <charset val="1"/>
      </rPr>
      <t xml:space="preserve"> (verde)</t>
    </r>
  </si>
  <si>
    <t>0051</t>
  </si>
  <si>
    <r>
      <rPr>
        <sz val="10"/>
        <color rgb="FF000000"/>
        <rFont val="Arial1"/>
        <charset val="1"/>
      </rPr>
      <t xml:space="preserve">CARQUEJA </t>
    </r>
    <r>
      <rPr>
        <b/>
        <sz val="10"/>
        <color rgb="FF000000"/>
        <rFont val="Arial"/>
        <family val="2"/>
        <charset val="1"/>
      </rPr>
      <t>( seca )</t>
    </r>
  </si>
  <si>
    <t>0054</t>
  </si>
  <si>
    <r>
      <rPr>
        <sz val="10"/>
        <color rgb="FF000000"/>
        <rFont val="Arial1"/>
        <charset val="1"/>
      </rPr>
      <t xml:space="preserve">CHA DA INDIA </t>
    </r>
    <r>
      <rPr>
        <b/>
        <sz val="10"/>
        <color rgb="FF000000"/>
        <rFont val="Arial"/>
        <family val="2"/>
        <charset val="1"/>
      </rPr>
      <t>( folha seca)</t>
    </r>
  </si>
  <si>
    <t>2113</t>
  </si>
  <si>
    <t>CITRONELA</t>
  </si>
  <si>
    <t>2087</t>
  </si>
  <si>
    <r>
      <rPr>
        <sz val="10"/>
        <color rgb="FF000000"/>
        <rFont val="Arial1"/>
        <charset val="1"/>
      </rPr>
      <t xml:space="preserve">COENTRO </t>
    </r>
    <r>
      <rPr>
        <b/>
        <sz val="10"/>
        <color rgb="FF000000"/>
        <rFont val="Arial"/>
        <family val="2"/>
        <charset val="1"/>
      </rPr>
      <t>( seco )</t>
    </r>
  </si>
  <si>
    <t>0055</t>
  </si>
  <si>
    <r>
      <rPr>
        <sz val="10"/>
        <color rgb="FF000000"/>
        <rFont val="Arial1"/>
        <charset val="1"/>
      </rPr>
      <t xml:space="preserve">DATURA </t>
    </r>
    <r>
      <rPr>
        <b/>
        <sz val="10"/>
        <color rgb="FF000000"/>
        <rFont val="Arial"/>
        <family val="2"/>
        <charset val="1"/>
      </rPr>
      <t>( seco )</t>
    </r>
  </si>
  <si>
    <t>2115</t>
  </si>
  <si>
    <r>
      <rPr>
        <sz val="10"/>
        <color rgb="FF000000"/>
        <rFont val="Arial1"/>
        <charset val="1"/>
      </rPr>
      <t xml:space="preserve">ERVA-CIDREIRA </t>
    </r>
    <r>
      <rPr>
        <b/>
        <sz val="10"/>
        <color rgb="FF000000"/>
        <rFont val="Arial"/>
        <family val="2"/>
        <charset val="1"/>
      </rPr>
      <t>( folha )</t>
    </r>
  </si>
  <si>
    <t>0057</t>
  </si>
  <si>
    <t>ESPINHEIRA SANTA</t>
  </si>
  <si>
    <t>0056</t>
  </si>
  <si>
    <t>FOLHA DE ABACATE</t>
  </si>
  <si>
    <t>5290</t>
  </si>
  <si>
    <t>FOLHAS DE EUCALIPTO</t>
  </si>
  <si>
    <t>D</t>
  </si>
  <si>
    <t>0058</t>
  </si>
  <si>
    <t>FOLHAS DE MARACUJÁ</t>
  </si>
  <si>
    <t>0059</t>
  </si>
  <si>
    <r>
      <rPr>
        <sz val="10"/>
        <color rgb="FF000000"/>
        <rFont val="Arial1"/>
        <charset val="1"/>
      </rPr>
      <t xml:space="preserve">FUNCHO </t>
    </r>
    <r>
      <rPr>
        <b/>
        <sz val="10"/>
        <color rgb="FF000000"/>
        <rFont val="Arial"/>
        <family val="2"/>
        <charset val="1"/>
      </rPr>
      <t>(fruto)</t>
    </r>
  </si>
  <si>
    <t>0060</t>
  </si>
  <si>
    <t>GENGIBRE</t>
  </si>
  <si>
    <t>0062</t>
  </si>
  <si>
    <t>GERGELIM</t>
  </si>
  <si>
    <t>0065</t>
  </si>
  <si>
    <t>GINSENG / PFÁFIA</t>
  </si>
  <si>
    <t>0067</t>
  </si>
  <si>
    <r>
      <rPr>
        <sz val="10"/>
        <color rgb="FF000000"/>
        <rFont val="Arial1"/>
        <charset val="1"/>
      </rPr>
      <t>GUACO (</t>
    </r>
    <r>
      <rPr>
        <b/>
        <sz val="10"/>
        <color rgb="FF000000"/>
        <rFont val="Arial"/>
        <family val="2"/>
        <charset val="1"/>
      </rPr>
      <t xml:space="preserve"> seco</t>
    </r>
    <r>
      <rPr>
        <sz val="10"/>
        <color rgb="FF000000"/>
        <rFont val="Arial"/>
        <family val="2"/>
        <charset val="1"/>
      </rPr>
      <t>)</t>
    </r>
  </si>
  <si>
    <t>2190</t>
  </si>
  <si>
    <r>
      <rPr>
        <sz val="10"/>
        <color rgb="FF000000"/>
        <rFont val="Arial1"/>
        <charset val="1"/>
      </rPr>
      <t xml:space="preserve">HORTELA / </t>
    </r>
    <r>
      <rPr>
        <b/>
        <sz val="10"/>
        <color rgb="FF000000"/>
        <rFont val="Arial"/>
        <family val="2"/>
        <charset val="1"/>
      </rPr>
      <t>MENTA</t>
    </r>
  </si>
  <si>
    <t>0069</t>
  </si>
  <si>
    <t>LOSNA</t>
  </si>
  <si>
    <t>0089</t>
  </si>
  <si>
    <t>ORÉGANO</t>
  </si>
  <si>
    <t>3116</t>
  </si>
  <si>
    <t>PALMAROSA</t>
  </si>
  <si>
    <t>F</t>
  </si>
  <si>
    <t>3771</t>
  </si>
  <si>
    <t>QUEBRA PEDRA</t>
  </si>
  <si>
    <t>0073</t>
  </si>
  <si>
    <r>
      <rPr>
        <sz val="10"/>
        <color rgb="FF000000"/>
        <rFont val="Arial1"/>
        <charset val="1"/>
      </rPr>
      <t xml:space="preserve">SALVIA </t>
    </r>
    <r>
      <rPr>
        <b/>
        <sz val="10"/>
        <color rgb="FF000000"/>
        <rFont val="Arial"/>
        <family val="2"/>
        <charset val="1"/>
      </rPr>
      <t>( verde )</t>
    </r>
  </si>
  <si>
    <t>0025</t>
  </si>
  <si>
    <t>STEVIA</t>
  </si>
  <si>
    <t>8. PRODUTOS FLORESTAIS</t>
  </si>
  <si>
    <t>5210</t>
  </si>
  <si>
    <t>CARVAO VEGETAL (P/CHURRASCO)</t>
  </si>
  <si>
    <t>5271</t>
  </si>
  <si>
    <t>CARVAO VEGETAL ATIVADO</t>
  </si>
  <si>
    <t>0080</t>
  </si>
  <si>
    <t>ERVA MATE</t>
  </si>
  <si>
    <t>Florestal</t>
  </si>
  <si>
    <t>0503</t>
  </si>
  <si>
    <t>MADEIRAS - CIPRESTE</t>
  </si>
  <si>
    <t>5260</t>
  </si>
  <si>
    <t>MADEIRAS - EM TORA OUTRAS FINALIDADES</t>
  </si>
  <si>
    <t>m3</t>
  </si>
  <si>
    <t>M3</t>
  </si>
  <si>
    <t>5250</t>
  </si>
  <si>
    <t>MADEIRAS - EM TORA PARA PAPEL E CELULOSE</t>
  </si>
  <si>
    <t>0520</t>
  </si>
  <si>
    <t>MADEIRAS - EUCALIPTO PARA SERRARIA</t>
  </si>
  <si>
    <t>5235</t>
  </si>
  <si>
    <t>MADEIRAS - IMBUIA PARA SERRARIA</t>
  </si>
  <si>
    <t>5093</t>
  </si>
  <si>
    <t>MADEIRAS - LASCA DE MADEIRA</t>
  </si>
  <si>
    <t>DZ</t>
  </si>
  <si>
    <t>5220</t>
  </si>
  <si>
    <t>MADEIRAS - LENHA</t>
  </si>
  <si>
    <t>5230</t>
  </si>
  <si>
    <t>MADEIRAS - MADEIRA EM TORA P/SERRARIA</t>
  </si>
  <si>
    <t>5240</t>
  </si>
  <si>
    <t>MADEIRAS - NÓ DE PINHO</t>
  </si>
  <si>
    <t>0602</t>
  </si>
  <si>
    <t>MADEIRAS - PINHEIRO DO PARANA</t>
  </si>
  <si>
    <t>5275</t>
  </si>
  <si>
    <t>MADEIRAS - PINUS EM TORA PARA SERRARIA</t>
  </si>
  <si>
    <t>0521</t>
  </si>
  <si>
    <t>ÓLEO DE EUCALIPTO</t>
  </si>
  <si>
    <t>0087</t>
  </si>
  <si>
    <t>ÓLEO DE SASSAFRÁS</t>
  </si>
  <si>
    <t>0603</t>
  </si>
  <si>
    <t>PALMITO</t>
  </si>
  <si>
    <t>1862</t>
  </si>
  <si>
    <t>PINHAO</t>
  </si>
  <si>
    <t>5310</t>
  </si>
  <si>
    <t>RESINA</t>
  </si>
  <si>
    <t>0700</t>
  </si>
  <si>
    <t>SERINGUEIRA</t>
  </si>
  <si>
    <t>1155</t>
  </si>
  <si>
    <t>XAXIM</t>
  </si>
  <si>
    <t>m linear</t>
  </si>
  <si>
    <t>MLN</t>
  </si>
  <si>
    <t>9. FLORES E ORNAMENTAIS</t>
  </si>
  <si>
    <t>3004</t>
  </si>
  <si>
    <r>
      <rPr>
        <sz val="10"/>
        <color rgb="FF000000"/>
        <rFont val="Arial1"/>
        <charset val="1"/>
      </rPr>
      <t xml:space="preserve">ANTURIO </t>
    </r>
    <r>
      <rPr>
        <b/>
        <sz val="10"/>
        <color rgb="FF000000"/>
        <rFont val="Arial"/>
        <family val="2"/>
        <charset val="1"/>
      </rPr>
      <t>( 10 hastes )</t>
    </r>
  </si>
  <si>
    <t>maço</t>
  </si>
  <si>
    <t>MC</t>
  </si>
  <si>
    <t>3007</t>
  </si>
  <si>
    <t>BEGÔNIA</t>
  </si>
  <si>
    <t>3015</t>
  </si>
  <si>
    <r>
      <rPr>
        <sz val="10"/>
        <color rgb="FF000000"/>
        <rFont val="Arial1"/>
        <charset val="1"/>
      </rPr>
      <t xml:space="preserve">COPO DE LEITE </t>
    </r>
    <r>
      <rPr>
        <b/>
        <sz val="10"/>
        <color rgb="FF000000"/>
        <rFont val="Arial"/>
        <family val="2"/>
        <charset val="1"/>
      </rPr>
      <t>( 20 hastes )</t>
    </r>
  </si>
  <si>
    <t>MÇO</t>
  </si>
  <si>
    <t>3003</t>
  </si>
  <si>
    <t>CRAVO</t>
  </si>
  <si>
    <t>3083</t>
  </si>
  <si>
    <r>
      <rPr>
        <sz val="10"/>
        <color rgb="FF000000"/>
        <rFont val="Arial1"/>
        <charset val="1"/>
      </rPr>
      <t xml:space="preserve">CRISANTEMO </t>
    </r>
    <r>
      <rPr>
        <b/>
        <sz val="10"/>
        <color rgb="FF000000"/>
        <rFont val="Arial"/>
        <family val="2"/>
        <charset val="1"/>
      </rPr>
      <t>(25 hastes)</t>
    </r>
  </si>
  <si>
    <t>3082</t>
  </si>
  <si>
    <r>
      <rPr>
        <sz val="10"/>
        <color rgb="FF000000"/>
        <rFont val="Arial1"/>
        <charset val="1"/>
      </rPr>
      <t xml:space="preserve">CRISANTEMO </t>
    </r>
    <r>
      <rPr>
        <b/>
        <sz val="10"/>
        <color rgb="FF000000"/>
        <rFont val="Arial"/>
        <family val="2"/>
        <charset val="1"/>
      </rPr>
      <t>(vaso)</t>
    </r>
  </si>
  <si>
    <t>3152</t>
  </si>
  <si>
    <t>GERBERA</t>
  </si>
  <si>
    <t>3001</t>
  </si>
  <si>
    <t>GRAMADO</t>
  </si>
  <si>
    <r>
      <rPr>
        <sz val="10"/>
        <color rgb="FF000000"/>
        <rFont val="Arial1"/>
        <charset val="1"/>
      </rPr>
      <t>m</t>
    </r>
    <r>
      <rPr>
        <b/>
        <i/>
        <sz val="10"/>
        <color rgb="FF000000"/>
        <rFont val="Arial"/>
        <family val="2"/>
        <charset val="1"/>
      </rPr>
      <t>²</t>
    </r>
  </si>
  <si>
    <t>3010</t>
  </si>
  <si>
    <t>HORTENCIA</t>
  </si>
  <si>
    <t>UND</t>
  </si>
  <si>
    <t>3045</t>
  </si>
  <si>
    <r>
      <rPr>
        <sz val="10"/>
        <color rgb="FF000000"/>
        <rFont val="Arial1"/>
        <charset val="1"/>
      </rPr>
      <t xml:space="preserve">MARGARIDA </t>
    </r>
    <r>
      <rPr>
        <b/>
        <sz val="10"/>
        <color rgb="FF000000"/>
        <rFont val="Arial"/>
        <family val="2"/>
        <charset val="1"/>
      </rPr>
      <t>( "20" hastes )</t>
    </r>
  </si>
  <si>
    <t>3044</t>
  </si>
  <si>
    <r>
      <rPr>
        <sz val="10"/>
        <color rgb="FF000000"/>
        <rFont val="Arial1"/>
        <charset val="1"/>
      </rPr>
      <t xml:space="preserve">MARGARIDA </t>
    </r>
    <r>
      <rPr>
        <b/>
        <sz val="10"/>
        <color rgb="FF000000"/>
        <rFont val="Arial"/>
        <family val="2"/>
        <charset val="1"/>
      </rPr>
      <t>(vaso)</t>
    </r>
  </si>
  <si>
    <t>VASO</t>
  </si>
  <si>
    <t>VSO</t>
  </si>
  <si>
    <t>3047</t>
  </si>
  <si>
    <t>MOSQUITINHO</t>
  </si>
  <si>
    <t>3000</t>
  </si>
  <si>
    <t>ORNAMENTAIS</t>
  </si>
  <si>
    <t>3050</t>
  </si>
  <si>
    <t>ORQUIDEA</t>
  </si>
  <si>
    <t>0601</t>
  </si>
  <si>
    <t>PALMA</t>
  </si>
  <si>
    <t>3053</t>
  </si>
  <si>
    <t>PRIMULA</t>
  </si>
  <si>
    <t>vaso</t>
  </si>
  <si>
    <t>3090</t>
  </si>
  <si>
    <t>ROSAS</t>
  </si>
  <si>
    <t>3115</t>
  </si>
  <si>
    <t>VIOLETA (VASO)</t>
  </si>
  <si>
    <t>10. MUDAS FRUTÍFERAS E DIVERSAS</t>
  </si>
  <si>
    <t>4125</t>
  </si>
  <si>
    <t>MUDA DE ABACATEIRO</t>
  </si>
  <si>
    <t>Pagos</t>
  </si>
  <si>
    <t>4195</t>
  </si>
  <si>
    <t>MUDA DE ABACAXIZEIRO</t>
  </si>
  <si>
    <t>MUDA DE ACEROLA</t>
  </si>
  <si>
    <t>4129</t>
  </si>
  <si>
    <t>MUDA DE AMEIXEIRA</t>
  </si>
  <si>
    <t>4124</t>
  </si>
  <si>
    <t>MUDA DE CAFE</t>
  </si>
  <si>
    <t>4136</t>
  </si>
  <si>
    <t>MUDA DE CANA DE ACUCAR</t>
  </si>
  <si>
    <t>4126</t>
  </si>
  <si>
    <t>MUDA DE CAQUIZEIRO</t>
  </si>
  <si>
    <t>4189</t>
  </si>
  <si>
    <t>MUDA DE CEREJEIRA</t>
  </si>
  <si>
    <t>I</t>
  </si>
  <si>
    <t>4135</t>
  </si>
  <si>
    <t>MUDA DE CITRUS</t>
  </si>
  <si>
    <t>4139</t>
  </si>
  <si>
    <t>MUDA DE FIGUEIRA</t>
  </si>
  <si>
    <t>4188</t>
  </si>
  <si>
    <t>MUDA DE JABOTICABEIRA</t>
  </si>
  <si>
    <t>4196</t>
  </si>
  <si>
    <t>MUDA DE KIWI</t>
  </si>
  <si>
    <t>4145</t>
  </si>
  <si>
    <t>MUDA DE MACIEIRA</t>
  </si>
  <si>
    <t>4159</t>
  </si>
  <si>
    <t>MUDA DE MAMOEIRO</t>
  </si>
  <si>
    <t>4315</t>
  </si>
  <si>
    <t>MUDA DE MANDIOCA (MANIVAS)</t>
  </si>
  <si>
    <t>4127</t>
  </si>
  <si>
    <t>MUDA DE MANGUEIRA</t>
  </si>
  <si>
    <t>4332</t>
  </si>
  <si>
    <t>MUDA DE MARACUJA</t>
  </si>
  <si>
    <t>4194</t>
  </si>
  <si>
    <t>MUDA DE MORANGUEIRO</t>
  </si>
  <si>
    <t>4146</t>
  </si>
  <si>
    <t>MUDA DE NECTARINEIRA</t>
  </si>
  <si>
    <t>4147</t>
  </si>
  <si>
    <t>MUDA DE NOGUEIRA PECA</t>
  </si>
  <si>
    <t>4128</t>
  </si>
  <si>
    <t>MUDA DE PEREIRA</t>
  </si>
  <si>
    <t>4141</t>
  </si>
  <si>
    <t>MUDA DE PESSEGUEIRO</t>
  </si>
  <si>
    <t>4138</t>
  </si>
  <si>
    <t>MUDA DE VIDEIRA</t>
  </si>
  <si>
    <t>11. MUDAS DE FLORES, ESSENCIAS FLORESTAIS E ERVA MATE</t>
  </si>
  <si>
    <t>3117</t>
  </si>
  <si>
    <t xml:space="preserve"> MUDA DE PIRIQUITINHO  </t>
  </si>
  <si>
    <t>MUDA DE  AMOR PERFEITO</t>
  </si>
  <si>
    <t>MUDA DE  FRUTIFERAS SILVESTRES           ( PITANGA, GUABIROBA,ARAÇA,UVAIA, ETC.)</t>
  </si>
  <si>
    <t>4298</t>
  </si>
  <si>
    <t>MUDA DE AZALEIA</t>
  </si>
  <si>
    <t>4759</t>
  </si>
  <si>
    <t>MUDA DE BOCA DE LEÃO</t>
  </si>
  <si>
    <t>4131</t>
  </si>
  <si>
    <t>MUDA DE BRACATINGA</t>
  </si>
  <si>
    <t>4301</t>
  </si>
  <si>
    <t>MUDA DE DRACENA</t>
  </si>
  <si>
    <t>4137</t>
  </si>
  <si>
    <t>MUDA DE ERVA MATE</t>
  </si>
  <si>
    <t>4206</t>
  </si>
  <si>
    <t>MUDA DE ESPÉCIES PARA ARBORIZACAO</t>
  </si>
  <si>
    <t>4130</t>
  </si>
  <si>
    <t>MUDA DE EUCALIPTO</t>
  </si>
  <si>
    <t>7578</t>
  </si>
  <si>
    <t>MUDA DE GLADIOLOS</t>
  </si>
  <si>
    <t>4352</t>
  </si>
  <si>
    <t>MUDA DE HERA</t>
  </si>
  <si>
    <t>3080</t>
  </si>
  <si>
    <t>MUDA DE LEGUSTRE</t>
  </si>
  <si>
    <t>4618</t>
  </si>
  <si>
    <t>MUDA DE PINHEIRO</t>
  </si>
  <si>
    <t>4133</t>
  </si>
  <si>
    <t>MUDA DE PINUS</t>
  </si>
  <si>
    <t>4390</t>
  </si>
  <si>
    <t>MUDA DE PRIMAVERA</t>
  </si>
  <si>
    <t>4411</t>
  </si>
  <si>
    <t>MUDA DE PUPUNHA</t>
  </si>
  <si>
    <t>4288</t>
  </si>
  <si>
    <t>MUDA DE ROSEIRA</t>
  </si>
  <si>
    <t>4675</t>
  </si>
  <si>
    <t>MUDA DE SANSAO DO CAMPO</t>
  </si>
  <si>
    <t>4302</t>
  </si>
  <si>
    <t>MUDA DE TUIA</t>
  </si>
  <si>
    <t>4619</t>
  </si>
  <si>
    <t>MUDAS DE ESSENCIAS FLOR.EXOTICAS</t>
  </si>
  <si>
    <t>4620</t>
  </si>
  <si>
    <t>MUDAS DE ESSENCIAS FLOR.NATIVAS</t>
  </si>
  <si>
    <t>12. SEMENTES</t>
  </si>
  <si>
    <t>4165</t>
  </si>
  <si>
    <t>BATATA SEMENTE</t>
  </si>
  <si>
    <t>30kg</t>
  </si>
  <si>
    <t>4236</t>
  </si>
  <si>
    <t>SEMENTE DE ABOBRINHA</t>
  </si>
  <si>
    <t>4166</t>
  </si>
  <si>
    <t>SEMENTE DE ALHO</t>
  </si>
  <si>
    <t>4100</t>
  </si>
  <si>
    <t>SEMENTE DE AVEIA BRANCA</t>
  </si>
  <si>
    <t>SEMENTE DE AVEIA PRETA</t>
  </si>
  <si>
    <t>4168</t>
  </si>
  <si>
    <t>SEMENTE DE AZEVEM</t>
  </si>
  <si>
    <t>4212</t>
  </si>
  <si>
    <t>SEMENTE DE BRACATINGA</t>
  </si>
  <si>
    <t>E</t>
  </si>
  <si>
    <t>4721</t>
  </si>
  <si>
    <t>SEMENTE DE BRIZANTAO</t>
  </si>
  <si>
    <t>4058</t>
  </si>
  <si>
    <t>SEMENTE DE CAFE</t>
  </si>
  <si>
    <t>4178</t>
  </si>
  <si>
    <t>SEMENTE DE CAPIM COLONIAO</t>
  </si>
  <si>
    <t>4059</t>
  </si>
  <si>
    <t>SEMENTE DE CEVADA</t>
  </si>
  <si>
    <t>50kg</t>
  </si>
  <si>
    <t>4217</t>
  </si>
  <si>
    <t>SEMENTE DE ERVA MATE</t>
  </si>
  <si>
    <t>Kg</t>
  </si>
  <si>
    <t>4066</t>
  </si>
  <si>
    <t>SEMENTE DE FEIJAO</t>
  </si>
  <si>
    <t>60kg</t>
  </si>
  <si>
    <t>4075</t>
  </si>
  <si>
    <t>SEMENTE DE MILHO</t>
  </si>
  <si>
    <t>4320</t>
  </si>
  <si>
    <t>SEMENTE DE MORANGA</t>
  </si>
  <si>
    <t>4090</t>
  </si>
  <si>
    <t>SEMENTE DE SOJA</t>
  </si>
  <si>
    <t>4095</t>
  </si>
  <si>
    <t>SEMENTE DE TRIGO</t>
  </si>
  <si>
    <t>4164</t>
  </si>
  <si>
    <t>SEMENTE DE TRITICALE</t>
  </si>
  <si>
    <t>4213</t>
  </si>
  <si>
    <t>SEMENTES DE HORTALIÇAS</t>
  </si>
  <si>
    <t>13. FORRAGEIRAS E SILAGENS (ALIM.ANIMAL)</t>
  </si>
  <si>
    <t>CAPINEIRAS (forragem verde p/alim.animal)</t>
  </si>
  <si>
    <t>FENO-OUTROS</t>
  </si>
  <si>
    <t>FENO DE ALFAFA</t>
  </si>
  <si>
    <t>FENO DE AVEIA E/OU AZEVEM</t>
  </si>
  <si>
    <t>2321</t>
  </si>
  <si>
    <t>NABO FORRAGEIRO  (grão/semente)</t>
  </si>
  <si>
    <t>SILAGENS - OUTROS</t>
  </si>
  <si>
    <t>3518</t>
  </si>
  <si>
    <t>SILAGENS  DE MILHO E/OU SORGO</t>
  </si>
  <si>
    <t>14. PESCADOS</t>
  </si>
  <si>
    <t>14.1 CAMARÃO</t>
  </si>
  <si>
    <t>7486</t>
  </si>
  <si>
    <t>CAMARAO DE AGUA DOCE (ENGORDA)</t>
  </si>
  <si>
    <t>7485</t>
  </si>
  <si>
    <t>CAMARAO MARINHO (DE CAPTURA)</t>
  </si>
  <si>
    <t>7490</t>
  </si>
  <si>
    <t>CAMARAO POS-LARVA (PARA RECRIA)</t>
  </si>
  <si>
    <t>milheiro</t>
  </si>
  <si>
    <t>14.2 PESCADOS DE CAPTURA</t>
  </si>
  <si>
    <t>7520</t>
  </si>
  <si>
    <t>PESCADO DE AGUA DOCE (DE CAPTURA)</t>
  </si>
  <si>
    <t>7515</t>
  </si>
  <si>
    <t>PESCADO MARINHO (DE CAPTURA)</t>
  </si>
  <si>
    <t>14.3 PESCADOS DE CULTIVO/ENGORDA</t>
  </si>
  <si>
    <t>PESCADO DE AGUA DOCE - BAGRE</t>
  </si>
  <si>
    <t>PESCADO DE AGUA DOCE - CARPAS</t>
  </si>
  <si>
    <t>7514</t>
  </si>
  <si>
    <t>PESCADO DE AGUA DOCE - CAT-FISH</t>
  </si>
  <si>
    <t>PESCADO DE AGUA DOCE - PACU</t>
  </si>
  <si>
    <t>7519</t>
  </si>
  <si>
    <t>PESCADO DE AGUA DOCE - TILÁPIA</t>
  </si>
  <si>
    <t>7501</t>
  </si>
  <si>
    <t>PESCADO DE CULTIVO (ALEVINOS)</t>
  </si>
  <si>
    <t>mil</t>
  </si>
  <si>
    <t>MIL</t>
  </si>
  <si>
    <t>15. PRODUÇÃO PECUÁRIA (COMERCIAL)</t>
  </si>
  <si>
    <t>7318</t>
  </si>
  <si>
    <t>CERA DE ABELHA</t>
  </si>
  <si>
    <t>7310</t>
  </si>
  <si>
    <t>ESTERCO DE FRANGO (CAMA DE AVIARIO)</t>
  </si>
  <si>
    <t>7312</t>
  </si>
  <si>
    <t>ESTERCO DE POEDEIRA</t>
  </si>
  <si>
    <t>7316</t>
  </si>
  <si>
    <t>ESTERCO DE SUINOS/BOVINOS</t>
  </si>
  <si>
    <t>7201</t>
  </si>
  <si>
    <t>GELEIA REAL</t>
  </si>
  <si>
    <t>7314</t>
  </si>
  <si>
    <r>
      <rPr>
        <sz val="10"/>
        <color rgb="FF000000"/>
        <rFont val="Arial1"/>
        <charset val="1"/>
      </rPr>
      <t xml:space="preserve">HUMUS </t>
    </r>
    <r>
      <rPr>
        <b/>
        <sz val="10"/>
        <color rgb="FF000000"/>
        <rFont val="Arial"/>
        <family val="2"/>
        <charset val="1"/>
      </rPr>
      <t>(de minhoca)</t>
    </r>
  </si>
  <si>
    <t>7083</t>
  </si>
  <si>
    <t>LÃ</t>
  </si>
  <si>
    <t>7014</t>
  </si>
  <si>
    <t>LEITE</t>
  </si>
  <si>
    <t>litros</t>
  </si>
  <si>
    <t>LIT</t>
  </si>
  <si>
    <t>7200</t>
  </si>
  <si>
    <t>MEL</t>
  </si>
  <si>
    <t>7106</t>
  </si>
  <si>
    <r>
      <rPr>
        <sz val="10"/>
        <color rgb="FF000000"/>
        <rFont val="Arial1"/>
        <charset val="1"/>
      </rPr>
      <t xml:space="preserve">OVOS DE CODORNA </t>
    </r>
    <r>
      <rPr>
        <b/>
        <sz val="10"/>
        <color rgb="FF000000"/>
        <rFont val="Arial"/>
        <family val="2"/>
        <charset val="1"/>
      </rPr>
      <t>(comercial)</t>
    </r>
  </si>
  <si>
    <t>7105</t>
  </si>
  <si>
    <r>
      <rPr>
        <sz val="10"/>
        <color rgb="FF000000"/>
        <rFont val="Arial1"/>
        <charset val="1"/>
      </rPr>
      <t xml:space="preserve">OVOS DE GALINHA </t>
    </r>
    <r>
      <rPr>
        <b/>
        <sz val="10"/>
        <color rgb="FF000000"/>
        <rFont val="Arial"/>
        <family val="2"/>
        <charset val="1"/>
      </rPr>
      <t>(comercial)</t>
    </r>
  </si>
  <si>
    <t>30duzia</t>
  </si>
  <si>
    <t>7109</t>
  </si>
  <si>
    <r>
      <rPr>
        <sz val="10"/>
        <color rgb="FF000000"/>
        <rFont val="Arial1"/>
        <charset val="1"/>
      </rPr>
      <t xml:space="preserve">OVOS DE GALINHA </t>
    </r>
    <r>
      <rPr>
        <b/>
        <sz val="10"/>
        <color rgb="FF000000"/>
        <rFont val="Arial"/>
        <family val="2"/>
        <charset val="1"/>
      </rPr>
      <t>(</t>
    </r>
    <r>
      <rPr>
        <b/>
        <sz val="9"/>
        <color rgb="FF000000"/>
        <rFont val="Arial"/>
        <family val="2"/>
        <charset val="1"/>
      </rPr>
      <t>galado/fecundado</t>
    </r>
    <r>
      <rPr>
        <sz val="9"/>
        <color rgb="FF000000"/>
        <rFont val="Arial"/>
        <family val="2"/>
        <charset val="1"/>
      </rPr>
      <t>)</t>
    </r>
  </si>
  <si>
    <t>7077</t>
  </si>
  <si>
    <t>OVOS DE LAGARTA DO BICHO DA SEDA</t>
  </si>
  <si>
    <t>grama</t>
  </si>
  <si>
    <t>GRA</t>
  </si>
  <si>
    <t>7107</t>
  </si>
  <si>
    <r>
      <rPr>
        <sz val="10"/>
        <color rgb="FF000000"/>
        <rFont val="Arial1"/>
        <charset val="1"/>
      </rPr>
      <t xml:space="preserve">OVOS DE PERU </t>
    </r>
    <r>
      <rPr>
        <b/>
        <sz val="10"/>
        <color rgb="FF000000"/>
        <rFont val="Arial"/>
        <family val="2"/>
        <charset val="1"/>
      </rPr>
      <t>(comercial)</t>
    </r>
  </si>
  <si>
    <t>7125</t>
  </si>
  <si>
    <r>
      <rPr>
        <sz val="10"/>
        <color rgb="FF000000"/>
        <rFont val="Arial1"/>
        <charset val="1"/>
      </rPr>
      <t>OVOS DE PERU P/MATRIZ</t>
    </r>
    <r>
      <rPr>
        <b/>
        <sz val="10"/>
        <color rgb="FF000000"/>
        <rFont val="Arial"/>
        <family val="2"/>
        <charset val="1"/>
      </rPr>
      <t xml:space="preserve"> (galado/fecundado)</t>
    </r>
  </si>
  <si>
    <t>7126</t>
  </si>
  <si>
    <t>OVOS DE PERU P/REPRODUCAO</t>
  </si>
  <si>
    <t>7202</t>
  </si>
  <si>
    <t>POLEM</t>
  </si>
  <si>
    <t>7320</t>
  </si>
  <si>
    <t>PROPOLIS</t>
  </si>
  <si>
    <t>7203</t>
  </si>
  <si>
    <t>VENENO DE ABELHA</t>
  </si>
  <si>
    <t>16. REBANHO PECUÁRIO, DESFRUTE E PESO MÉDIO DE CARCAÇA</t>
  </si>
  <si>
    <t>7181</t>
  </si>
  <si>
    <r>
      <rPr>
        <sz val="10"/>
        <color rgb="FF000000"/>
        <rFont val="Arial1"/>
        <charset val="1"/>
      </rPr>
      <t xml:space="preserve">AVES CAIPIRA </t>
    </r>
    <r>
      <rPr>
        <b/>
        <sz val="10"/>
        <color rgb="FF000000"/>
        <rFont val="Arial"/>
        <family val="2"/>
        <charset val="1"/>
      </rPr>
      <t>( peso vivo)</t>
    </r>
  </si>
  <si>
    <t>7177</t>
  </si>
  <si>
    <t>AVES DE CORTE (FRANGO)</t>
  </si>
  <si>
    <t>7178</t>
  </si>
  <si>
    <r>
      <rPr>
        <sz val="10"/>
        <color rgb="FF000000"/>
        <rFont val="Arial1"/>
        <charset val="1"/>
      </rPr>
      <t xml:space="preserve">AVES DE POSTURA </t>
    </r>
    <r>
      <rPr>
        <b/>
        <sz val="10"/>
        <color rgb="FF000000"/>
        <rFont val="Arial"/>
        <family val="2"/>
        <charset val="1"/>
      </rPr>
      <t>( peso vivo )</t>
    </r>
  </si>
  <si>
    <t>cab</t>
  </si>
  <si>
    <t>CAB</t>
  </si>
  <si>
    <t>BOVINOS (BOI GORDO)</t>
  </si>
  <si>
    <t>7020</t>
  </si>
  <si>
    <r>
      <rPr>
        <sz val="10"/>
        <color rgb="FF000000"/>
        <rFont val="Arial1"/>
        <charset val="1"/>
      </rPr>
      <t>BUBALINOS</t>
    </r>
    <r>
      <rPr>
        <b/>
        <sz val="10"/>
        <color rgb="FF000000"/>
        <rFont val="Arial"/>
        <family val="2"/>
        <charset val="1"/>
      </rPr>
      <t xml:space="preserve"> ( para carne )</t>
    </r>
  </si>
  <si>
    <t>7040</t>
  </si>
  <si>
    <r>
      <rPr>
        <sz val="10"/>
        <color rgb="FF000000"/>
        <rFont val="Arial1"/>
        <charset val="1"/>
      </rPr>
      <t xml:space="preserve">CAPRINOS </t>
    </r>
    <r>
      <rPr>
        <b/>
        <sz val="10"/>
        <color rgb="FF000000"/>
        <rFont val="Arial"/>
        <family val="2"/>
        <charset val="1"/>
      </rPr>
      <t>( para carne )</t>
    </r>
  </si>
  <si>
    <t>7210</t>
  </si>
  <si>
    <t>CASULO</t>
  </si>
  <si>
    <t>7140</t>
  </si>
  <si>
    <r>
      <rPr>
        <sz val="10"/>
        <color rgb="FF000000"/>
        <rFont val="Arial1"/>
        <charset val="1"/>
      </rPr>
      <t xml:space="preserve">CODORNA </t>
    </r>
    <r>
      <rPr>
        <b/>
        <sz val="10"/>
        <color rgb="FF000000"/>
        <rFont val="Arial"/>
        <family val="2"/>
        <charset val="1"/>
      </rPr>
      <t>( para carne )</t>
    </r>
  </si>
  <si>
    <t>7145</t>
  </si>
  <si>
    <t>CODORNA (MATRIZ)</t>
  </si>
  <si>
    <t>7146</t>
  </si>
  <si>
    <t>CODORNA C/30 DIAS (POSTURA)</t>
  </si>
  <si>
    <t>7304</t>
  </si>
  <si>
    <r>
      <rPr>
        <sz val="10"/>
        <color rgb="FF000000"/>
        <rFont val="Arial1"/>
        <charset val="1"/>
      </rPr>
      <t xml:space="preserve">COELHO </t>
    </r>
    <r>
      <rPr>
        <b/>
        <sz val="10"/>
        <color rgb="FF000000"/>
        <rFont val="Arial"/>
        <family val="2"/>
        <charset val="1"/>
      </rPr>
      <t>( para carne )</t>
    </r>
  </si>
  <si>
    <t>EQUINOS &lt; 1 ANO (P/TRABALHO)</t>
  </si>
  <si>
    <t>EQUINOS &gt; 1 ANO (P/TRABALHO)</t>
  </si>
  <si>
    <t>7054</t>
  </si>
  <si>
    <t>EQUINOS DE RAÇA (EQUITAÇÃO,LAZER,ETC..)</t>
  </si>
  <si>
    <t>7290</t>
  </si>
  <si>
    <r>
      <rPr>
        <sz val="10"/>
        <color rgb="FF000000"/>
        <rFont val="Arial1"/>
        <charset val="1"/>
      </rPr>
      <t xml:space="preserve">ESCARGOT </t>
    </r>
    <r>
      <rPr>
        <b/>
        <sz val="10"/>
        <color rgb="FF000000"/>
        <rFont val="Arial"/>
        <family val="2"/>
        <charset val="1"/>
      </rPr>
      <t>( produção)</t>
    </r>
  </si>
  <si>
    <t>7101</t>
  </si>
  <si>
    <r>
      <rPr>
        <sz val="10"/>
        <color rgb="FF000000"/>
        <rFont val="Arial1"/>
        <charset val="1"/>
      </rPr>
      <t xml:space="preserve">GALINHA &lt; 1 SEMANA P/CORTE </t>
    </r>
    <r>
      <rPr>
        <b/>
        <sz val="10"/>
        <color rgb="FF000000"/>
        <rFont val="Arial"/>
        <family val="2"/>
        <charset val="1"/>
      </rPr>
      <t>(pinto de corte)</t>
    </r>
  </si>
  <si>
    <t>7099</t>
  </si>
  <si>
    <r>
      <rPr>
        <sz val="10"/>
        <color rgb="FF000000"/>
        <rFont val="Arial1"/>
        <charset val="1"/>
      </rPr>
      <t xml:space="preserve">GALINHA &lt; 1 SEMANA P/REPROD </t>
    </r>
    <r>
      <rPr>
        <b/>
        <sz val="10"/>
        <color rgb="FF000000"/>
        <rFont val="Arial"/>
        <family val="2"/>
        <charset val="1"/>
      </rPr>
      <t>(pinto de postura)</t>
    </r>
  </si>
  <si>
    <t>7098</t>
  </si>
  <si>
    <r>
      <rPr>
        <sz val="10"/>
        <color rgb="FF000000"/>
        <rFont val="Arial1"/>
        <charset val="1"/>
      </rPr>
      <t>GALINHAS (</t>
    </r>
    <r>
      <rPr>
        <sz val="9"/>
        <color rgb="FF000000"/>
        <rFont val="Arial"/>
        <family val="2"/>
        <charset val="1"/>
      </rPr>
      <t>REPRODUTORAS</t>
    </r>
    <r>
      <rPr>
        <sz val="10"/>
        <color rgb="FF000000"/>
        <rFont val="Arial"/>
        <family val="2"/>
        <charset val="1"/>
      </rPr>
      <t xml:space="preserve">) </t>
    </r>
    <r>
      <rPr>
        <b/>
        <sz val="10"/>
        <color rgb="FF000000"/>
        <rFont val="Arial"/>
        <family val="2"/>
        <charset val="1"/>
      </rPr>
      <t>(peso vivo/descarte)</t>
    </r>
  </si>
  <si>
    <t>7309</t>
  </si>
  <si>
    <t>GIRINO DE RA</t>
  </si>
  <si>
    <t>7078</t>
  </si>
  <si>
    <t>LARVAS DO BICHO DA SEDA</t>
  </si>
  <si>
    <t>7120</t>
  </si>
  <si>
    <r>
      <rPr>
        <sz val="10"/>
        <color rgb="FF000000"/>
        <rFont val="Arial1"/>
        <charset val="1"/>
      </rPr>
      <t xml:space="preserve">MARRECO </t>
    </r>
    <r>
      <rPr>
        <b/>
        <sz val="10"/>
        <color rgb="FF000000"/>
        <rFont val="Arial"/>
        <family val="2"/>
        <charset val="1"/>
      </rPr>
      <t>(para corte)</t>
    </r>
  </si>
  <si>
    <t>7070</t>
  </si>
  <si>
    <t>MUARES</t>
  </si>
  <si>
    <t>7080</t>
  </si>
  <si>
    <r>
      <rPr>
        <sz val="10"/>
        <color rgb="FF000000"/>
        <rFont val="Arial1"/>
        <charset val="1"/>
      </rPr>
      <t>OVINOS (</t>
    </r>
    <r>
      <rPr>
        <b/>
        <sz val="10"/>
        <color rgb="FF000000"/>
        <rFont val="Arial"/>
        <family val="2"/>
        <charset val="1"/>
      </rPr>
      <t>para corte</t>
    </r>
    <r>
      <rPr>
        <sz val="10"/>
        <color rgb="FF000000"/>
        <rFont val="Arial"/>
        <family val="2"/>
        <charset val="1"/>
      </rPr>
      <t>)</t>
    </r>
  </si>
  <si>
    <t>7110</t>
  </si>
  <si>
    <r>
      <rPr>
        <sz val="10"/>
        <color rgb="FF000000"/>
        <rFont val="Arial1"/>
        <charset val="1"/>
      </rPr>
      <t xml:space="preserve">PATO </t>
    </r>
    <r>
      <rPr>
        <b/>
        <sz val="10"/>
        <color rgb="FF000000"/>
        <rFont val="Arial"/>
        <family val="2"/>
        <charset val="1"/>
      </rPr>
      <t>(para corte)</t>
    </r>
  </si>
  <si>
    <t>7130</t>
  </si>
  <si>
    <r>
      <rPr>
        <sz val="10"/>
        <color rgb="FF000000"/>
        <rFont val="Arial1"/>
        <charset val="1"/>
      </rPr>
      <t xml:space="preserve">PERU </t>
    </r>
    <r>
      <rPr>
        <b/>
        <sz val="10"/>
        <color rgb="FF000000"/>
        <rFont val="Arial"/>
        <family val="2"/>
        <charset val="1"/>
      </rPr>
      <t>(para corte)</t>
    </r>
  </si>
  <si>
    <t>7136</t>
  </si>
  <si>
    <r>
      <rPr>
        <sz val="10"/>
        <color rgb="FF000000"/>
        <rFont val="Arial1"/>
        <charset val="1"/>
      </rPr>
      <t xml:space="preserve">PERU </t>
    </r>
    <r>
      <rPr>
        <b/>
        <sz val="10"/>
        <color rgb="FF000000"/>
        <rFont val="Arial"/>
        <family val="2"/>
        <charset val="1"/>
      </rPr>
      <t>(para postura)</t>
    </r>
  </si>
  <si>
    <t>7131</t>
  </si>
  <si>
    <r>
      <rPr>
        <sz val="10"/>
        <color rgb="FF000000"/>
        <rFont val="Arial1"/>
        <charset val="1"/>
      </rPr>
      <t>PERU &lt; 1 SEMANA</t>
    </r>
    <r>
      <rPr>
        <b/>
        <sz val="10"/>
        <color rgb="FF000000"/>
        <rFont val="Arial"/>
        <family val="2"/>
        <charset val="1"/>
      </rPr>
      <t xml:space="preserve"> (P/ ENGORDA)</t>
    </r>
  </si>
  <si>
    <t>7135</t>
  </si>
  <si>
    <r>
      <rPr>
        <sz val="10"/>
        <color rgb="FF000000"/>
        <rFont val="Arial1"/>
        <charset val="1"/>
      </rPr>
      <t xml:space="preserve">PERU &lt; 1 SEMANA </t>
    </r>
    <r>
      <rPr>
        <b/>
        <sz val="10"/>
        <color rgb="FF000000"/>
        <rFont val="Arial"/>
        <family val="2"/>
        <charset val="1"/>
      </rPr>
      <t>(P/ MATRIZ)</t>
    </r>
  </si>
  <si>
    <t>7053</t>
  </si>
  <si>
    <t>PONEIS</t>
  </si>
  <si>
    <t>7308</t>
  </si>
  <si>
    <t>RA</t>
  </si>
  <si>
    <t>7097</t>
  </si>
  <si>
    <r>
      <rPr>
        <sz val="10"/>
        <color rgb="FF000000"/>
        <rFont val="Arial1"/>
        <charset val="1"/>
      </rPr>
      <t>SUINOS-COMUM</t>
    </r>
    <r>
      <rPr>
        <b/>
        <sz val="10"/>
        <color rgb="FF000000"/>
        <rFont val="Arial"/>
        <family val="2"/>
        <charset val="1"/>
      </rPr>
      <t xml:space="preserve"> (para corte)</t>
    </r>
  </si>
  <si>
    <t>7096</t>
  </si>
  <si>
    <r>
      <rPr>
        <sz val="10"/>
        <color rgb="FF000000"/>
        <rFont val="Arial1"/>
        <charset val="1"/>
      </rPr>
      <t xml:space="preserve">SUINOS-RACA </t>
    </r>
    <r>
      <rPr>
        <b/>
        <sz val="10"/>
        <color rgb="FF000000"/>
        <rFont val="Arial"/>
        <family val="2"/>
        <charset val="1"/>
      </rPr>
      <t>(para corte)</t>
    </r>
  </si>
  <si>
    <t>7091</t>
  </si>
  <si>
    <r>
      <rPr>
        <sz val="10"/>
        <color rgb="FF000000"/>
        <rFont val="Arial1"/>
        <charset val="1"/>
      </rPr>
      <t xml:space="preserve">SUINOS &lt;2 MESES </t>
    </r>
    <r>
      <rPr>
        <b/>
        <sz val="10"/>
        <color rgb="FF000000"/>
        <rFont val="Arial"/>
        <family val="2"/>
        <charset val="1"/>
      </rPr>
      <t>(leitão para corte )</t>
    </r>
  </si>
  <si>
    <t>cabeça</t>
  </si>
  <si>
    <t>VACAS PARA CORTE</t>
  </si>
  <si>
    <t>Sima</t>
  </si>
  <si>
    <t>VACAS PARA CRIA</t>
  </si>
  <si>
    <t>Rebanho Total</t>
  </si>
  <si>
    <t>Rebanho Leiteiro</t>
  </si>
  <si>
    <t>Leite Confinado</t>
  </si>
  <si>
    <t>Leite Não Confinado</t>
  </si>
  <si>
    <t>Corte Confinado</t>
  </si>
  <si>
    <t>Corte Não Confinado</t>
  </si>
  <si>
    <t>Rebanho Leiteiro / Rebanho Total</t>
  </si>
  <si>
    <t>Vacas / Rebanho  Leiteiro</t>
  </si>
  <si>
    <t>Vacas GTA (&gt;24 meses)</t>
  </si>
  <si>
    <t>Vacas ordenhadas</t>
  </si>
  <si>
    <t>% Raças Rebanho</t>
  </si>
  <si>
    <t>Produção Anual (litros/vaca)</t>
  </si>
  <si>
    <t>Média municipal (l/vaca)</t>
  </si>
  <si>
    <t xml:space="preserve"> Produção municipal (mil litros)</t>
  </si>
  <si>
    <t>Holandesa</t>
  </si>
  <si>
    <t>Jersey</t>
  </si>
  <si>
    <t>Mista</t>
  </si>
  <si>
    <t>Municípios</t>
  </si>
  <si>
    <t>Arapua</t>
  </si>
  <si>
    <t>Ariranha Do Ivaí</t>
  </si>
  <si>
    <t>Borrazópolis</t>
  </si>
  <si>
    <t>Cruzmaltina</t>
  </si>
  <si>
    <t>Faxinal</t>
  </si>
  <si>
    <t>Godoy Moreira</t>
  </si>
  <si>
    <t>Grandes Rios</t>
  </si>
  <si>
    <t>Ivaiporã</t>
  </si>
  <si>
    <t>Jardim Alegre</t>
  </si>
  <si>
    <t>Lidianópolis</t>
  </si>
  <si>
    <t>Lunardelli</t>
  </si>
  <si>
    <r>
      <rPr>
        <b/>
        <sz val="8"/>
        <color rgb="FF000000"/>
        <rFont val="Arial1"/>
        <charset val="1"/>
      </rPr>
      <t xml:space="preserve">Rio Branco Do </t>
    </r>
    <r>
      <rPr>
        <sz val="8"/>
        <color rgb="FF000000"/>
        <rFont val="Arial1"/>
        <family val="2"/>
        <charset val="1"/>
      </rPr>
      <t>Ivaí</t>
    </r>
  </si>
  <si>
    <r>
      <rPr>
        <sz val="8"/>
        <color rgb="FF000000"/>
        <rFont val="Arial1"/>
        <family val="2"/>
        <charset val="1"/>
      </rPr>
      <t>Rosário</t>
    </r>
    <r>
      <rPr>
        <b/>
        <sz val="8"/>
        <color rgb="FF000000"/>
        <rFont val="Arial1"/>
        <charset val="1"/>
      </rPr>
      <t xml:space="preserve"> Do </t>
    </r>
    <r>
      <rPr>
        <sz val="8"/>
        <color rgb="FF000000"/>
        <rFont val="Arial1"/>
        <family val="2"/>
        <charset val="1"/>
      </rPr>
      <t>Ivaí</t>
    </r>
  </si>
  <si>
    <r>
      <rPr>
        <sz val="8"/>
        <color rgb="FF000000"/>
        <rFont val="Arial1"/>
        <family val="2"/>
        <charset val="1"/>
      </rPr>
      <t>São</t>
    </r>
    <r>
      <rPr>
        <b/>
        <sz val="8"/>
        <color rgb="FF000000"/>
        <rFont val="Arial1"/>
        <charset val="1"/>
      </rPr>
      <t xml:space="preserve"> </t>
    </r>
    <r>
      <rPr>
        <sz val="8"/>
        <color rgb="FF000000"/>
        <rFont val="Arial1"/>
        <family val="2"/>
        <charset val="1"/>
      </rPr>
      <t>João</t>
    </r>
    <r>
      <rPr>
        <b/>
        <sz val="8"/>
        <color rgb="FF000000"/>
        <rFont val="Arial1"/>
        <charset val="1"/>
      </rPr>
      <t xml:space="preserve"> Do </t>
    </r>
    <r>
      <rPr>
        <sz val="8"/>
        <color rgb="FF000000"/>
        <rFont val="Arial1"/>
        <family val="2"/>
        <charset val="1"/>
      </rPr>
      <t>Ivaí</t>
    </r>
  </si>
  <si>
    <r>
      <rPr>
        <sz val="8"/>
        <color rgb="FF000000"/>
        <rFont val="Arial1"/>
        <family val="2"/>
        <charset val="1"/>
      </rPr>
      <t>São</t>
    </r>
    <r>
      <rPr>
        <b/>
        <sz val="8"/>
        <color rgb="FF000000"/>
        <rFont val="Arial1"/>
        <charset val="1"/>
      </rPr>
      <t xml:space="preserve"> Pedro Do </t>
    </r>
    <r>
      <rPr>
        <sz val="8"/>
        <color rgb="FF000000"/>
        <rFont val="Arial1"/>
        <family val="2"/>
        <charset val="1"/>
      </rPr>
      <t>Ivaí</t>
    </r>
  </si>
  <si>
    <t>Total Regional Estimado</t>
  </si>
  <si>
    <t>Média Aproximada Diária</t>
  </si>
  <si>
    <t>Holandesa (305 dias)</t>
  </si>
  <si>
    <t>Jersey (305 dias)</t>
  </si>
  <si>
    <t>Mista  (180 dias)</t>
  </si>
  <si>
    <t>Bovinocultura 2019 - Levantamento de rebanhos, abates e comercialização no Núcleo Regional de Ivaiporã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</si>
  <si>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</si>
  <si>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</si>
  <si>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</si>
  <si>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</si>
  <si>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</si>
  <si>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</si>
  <si>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</si>
  <si>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</si>
  <si>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</si>
  <si>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</si>
  <si>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</si>
  <si>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</si>
  <si>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</si>
  <si>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Captação Média IBGE 1997-2018</t>
  </si>
  <si>
    <t>Aumento da Captação IBGE - 2019</t>
  </si>
  <si>
    <t>Produção REGIONAL efetiva 2018</t>
  </si>
  <si>
    <t>Produção REGIONAL estimada 2019</t>
  </si>
  <si>
    <t>Total Declarado</t>
  </si>
  <si>
    <t>Não Declarado</t>
  </si>
  <si>
    <t>Total Estimado</t>
  </si>
  <si>
    <t>Laticínio 1</t>
  </si>
  <si>
    <t>Laticínio 2</t>
  </si>
  <si>
    <t>Laticínio 3</t>
  </si>
  <si>
    <t>Laticínio 4</t>
  </si>
  <si>
    <t>Laticínio 5</t>
  </si>
  <si>
    <t>Laticínio 6</t>
  </si>
  <si>
    <t>Laticínio 7</t>
  </si>
  <si>
    <t>Laticínio 8</t>
  </si>
  <si>
    <t>Laticínio 9</t>
  </si>
  <si>
    <t>Laticínio 10</t>
  </si>
  <si>
    <t>Laticínio 11</t>
  </si>
  <si>
    <t>Laticínio 12</t>
  </si>
  <si>
    <t>Laticínio 13</t>
  </si>
  <si>
    <t>Laticínio 14</t>
  </si>
  <si>
    <t>Laticínio 15</t>
  </si>
  <si>
    <t>Laticínio 16</t>
  </si>
  <si>
    <t>Laticínio 17</t>
  </si>
  <si>
    <t>Laticínio 18</t>
  </si>
  <si>
    <t>Laticínio 19</t>
  </si>
  <si>
    <t>Laticínio 20</t>
  </si>
  <si>
    <t>Laticínio 21</t>
  </si>
  <si>
    <t>Laticínio 22</t>
  </si>
  <si>
    <t>Laticínio 23</t>
  </si>
  <si>
    <t>Laticínio 24</t>
  </si>
  <si>
    <t>SOMA</t>
  </si>
  <si>
    <t>INSTRUÇÕES:</t>
  </si>
  <si>
    <t>Parte das informações deste novo formulários são iguais as do antigo e deverão ser obtidas preferencialmente via GTA, foram acrescentadas outras informações importantes para melhorar a consistência da pesquisa.</t>
  </si>
  <si>
    <t>Preencher somente os campos em amarelo.</t>
  </si>
  <si>
    <t>As informações de gado leiteiro e de corte, confinados ou não, deverão perfazer 100% quando somados.</t>
  </si>
  <si>
    <t>Os sub-índices destacam quando há alguma distorção relevante em relação à média do Estado, porém não quer dizer que esteja necessariamente errado o valor lançado.</t>
  </si>
  <si>
    <t>As informações deverão ser devolvidas à Sede exclusivamente por meio eletrônico (e-mail).</t>
  </si>
  <si>
    <t>Os animais abatidos deverão ser subdivididos em comum, precoce e vitelo; porém, posteriormente na Sede os precoces serão agregados aos comuns. A separação serve exclusivamente para calcular a média de peso.</t>
  </si>
  <si>
    <t>Lembrar de descontar os animais com registro do número de touros captados da GTA.</t>
  </si>
  <si>
    <t>Os itens que aparecerem em vermelho indicam que o número está fora da faixa média do Estado, o que não significa que está errado, pois certamente haverá situações particulares que justificam.</t>
  </si>
  <si>
    <t>DEFINIÇÕES:</t>
  </si>
  <si>
    <t>O gado leiteiro engloba também o gado misto, já o gado de corte é apenas o destinado especificamente para esta aptidão.</t>
  </si>
  <si>
    <t>No campo rebanho confinado preencher considerando os animais confinados 100% do tempo.</t>
  </si>
  <si>
    <t>No campo não confinado preencher considerando os animais não confinados e semi-confinados.</t>
  </si>
  <si>
    <t>Para a média de litros por vaca dia foi considerado um período de lactação de 305 dias.</t>
  </si>
  <si>
    <t>Bovinocultura 2021 - Levantamento de rebanhos, abates e comercialização no Núcleo Regional de Ivaiporã PR</t>
  </si>
  <si>
    <t>Bovinocultura 2021 - Levantamento de rebanhos, abates e comercialização no Núcleo Regional de Ivaiporã</t>
  </si>
  <si>
    <t xml:space="preserve">Considerar os animais do municípios abatidos no ano (abate interno - GTA's Internas) e animais que saíram do município para abate em outros municípios (saída para abate - GTA's de Saída). </t>
  </si>
  <si>
    <t>Não considerar animais vivos que transitam dentro do próprio município  (transferência de pasto)</t>
  </si>
  <si>
    <t xml:space="preserve">Orientação para uso da GTA, sendo que os códigos representam os campos a serem utilizados. </t>
  </si>
  <si>
    <t>GTAs de Saída - Abatidos/Comercializados</t>
  </si>
  <si>
    <t>Cod. Espécie</t>
  </si>
  <si>
    <t>Espécie</t>
  </si>
  <si>
    <t>Finalidade</t>
  </si>
  <si>
    <t>Total Machos</t>
  </si>
  <si>
    <t>Total Femeas</t>
  </si>
  <si>
    <t>Total Animais</t>
  </si>
  <si>
    <t>0 - 12 meses</t>
  </si>
  <si>
    <t>12 - 24 meses</t>
  </si>
  <si>
    <t>24 - 36 meses</t>
  </si>
  <si>
    <t>Mais de 36 meses</t>
  </si>
  <si>
    <t>M</t>
  </si>
  <si>
    <t xml:space="preserve">BOVINA </t>
  </si>
  <si>
    <t xml:space="preserve">Abate </t>
  </si>
  <si>
    <t>7010 boi p/corte</t>
  </si>
  <si>
    <t>7025 vaca p/corte</t>
  </si>
  <si>
    <t>7590 vitelo</t>
  </si>
  <si>
    <t xml:space="preserve">Cria/Engorda </t>
  </si>
  <si>
    <t>7015 bezerros</t>
  </si>
  <si>
    <t xml:space="preserve">7016 bezerras </t>
  </si>
  <si>
    <t xml:space="preserve">7017 novilho </t>
  </si>
  <si>
    <t>7018 novilha</t>
  </si>
  <si>
    <t>7017 novilho</t>
  </si>
  <si>
    <t xml:space="preserve">CRIA/Reproducao </t>
  </si>
  <si>
    <t>7019 touros</t>
  </si>
  <si>
    <t>7024 vaca p/cria</t>
  </si>
  <si>
    <t xml:space="preserve">Leilao </t>
  </si>
  <si>
    <t>Desc. Espécie</t>
  </si>
  <si>
    <t>GTA's</t>
  </si>
  <si>
    <t xml:space="preserve">Cria/Reproducao </t>
  </si>
  <si>
    <t xml:space="preserve">EQUINA </t>
  </si>
  <si>
    <t xml:space="preserve">Trabalho </t>
  </si>
  <si>
    <t xml:space="preserve">MUAR </t>
  </si>
  <si>
    <t xml:space="preserve">SUÍNA </t>
  </si>
  <si>
    <t xml:space="preserve">GALINHA </t>
  </si>
  <si>
    <t xml:space="preserve">PEIXES </t>
  </si>
  <si>
    <t>GTAs Internas - Abatidos/Comercializados</t>
  </si>
  <si>
    <t>7010 boi p/ corte</t>
  </si>
  <si>
    <t>Touros PC e PO (7006, 7007, 7008) - devem possuir o registro genalógico, bem como devem ser descontados do item 7019 (touro comum)</t>
  </si>
  <si>
    <t xml:space="preserve">Vitelo: desconsiderar se não houver na região aimais neste regime específico. Se houver, descontar do código 7010.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</si>
</sst>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[$R$-416]\ #,##0.00;[Red]\-[$R$-416]\ #,##0.00"/>
    <numFmt numFmtId="165" formatCode="* #,##0.00\ ;* \(#,##0.00\);* \-#\ ;@\ "/>
    <numFmt numFmtId="166" formatCode="dd\-mmm\-yy"/>
    <numFmt numFmtId="167" formatCode="#,##0.0\ ;&quot; (&quot;#,##0.0\);\-#\ ;@\ "/>
    <numFmt numFmtId="168" formatCode="#,##0.00\ ;&quot; (&quot;#,##0.00\);\-#\ ;@\ "/>
    <numFmt numFmtId="169" formatCode="0\ ;&quot; (&quot;0\);\-#\ ;@\ "/>
    <numFmt numFmtId="170" formatCode="#,##0.000\ ;&quot; (&quot;#,##0.000\);\-#\ ;@\ "/>
    <numFmt numFmtId="171" formatCode="#,##0.00000\ ;&quot; (&quot;#,##0.00000\);\-#\ ;@\ "/>
    <numFmt numFmtId="172" formatCode="#,##0\ ;&quot; (&quot;#,##0\);\-#\ ;@\ "/>
    <numFmt numFmtId="173" formatCode="#,##0.0"/>
    <numFmt numFmtId="174" formatCode="0.0"/>
    <numFmt numFmtId="175" formatCode="#,##0;[Red]#,##0"/>
    <numFmt numFmtId="176" formatCode="#,##0\ ;&quot; (&quot;#,##0\);\-00\ ;@\ "/>
  </numFmts>
  <fonts count="54">
    <font>
      <sz val="8"/>
      <color rgb="FF000000"/>
      <name val="Arial1"/>
      <family val="2"/>
      <charset val="1"/>
    </font>
    <font>
      <sz val="10"/>
      <color rgb="FF000000"/>
      <name val="Arial1"/>
      <family val="2"/>
      <charset val="1"/>
    </font>
    <font>
      <b/>
      <sz val="8"/>
      <color rgb="FFFF0000"/>
      <name val="Arial1"/>
      <family val="2"/>
      <charset val="1"/>
    </font>
    <font>
      <b/>
      <sz val="8"/>
      <color rgb="FFFF0000"/>
      <name val="Arial"/>
      <family val="2"/>
      <charset val="1"/>
    </font>
    <font>
      <b/>
      <sz val="8"/>
      <color rgb="FF339966"/>
      <name val="Arial1"/>
      <family val="2"/>
      <charset val="1"/>
    </font>
    <font>
      <b/>
      <sz val="8"/>
      <color rgb="FF339966"/>
      <name val="Arial"/>
      <family val="2"/>
      <charset val="1"/>
    </font>
    <font>
      <sz val="8"/>
      <name val="Arial"/>
      <family val="2"/>
      <charset val="1"/>
    </font>
    <font>
      <b/>
      <i/>
      <sz val="16"/>
      <color rgb="FF000000"/>
      <name val="Arial1"/>
      <family val="2"/>
      <charset val="1"/>
    </font>
    <font>
      <sz val="11"/>
      <color rgb="FF800080"/>
      <name val="Calibri"/>
      <family val="2"/>
      <charset val="1"/>
    </font>
    <font>
      <sz val="11"/>
      <color rgb="FF808000"/>
      <name val="Calibri"/>
      <family val="2"/>
      <charset val="1"/>
    </font>
    <font>
      <sz val="11"/>
      <color rgb="FF993300"/>
      <name val="Calibri"/>
      <family val="2"/>
      <charset val="1"/>
    </font>
    <font>
      <b/>
      <i/>
      <u/>
      <sz val="8"/>
      <color rgb="FF000000"/>
      <name val="Arial1"/>
      <family val="2"/>
      <charset val="1"/>
    </font>
    <font>
      <u/>
      <sz val="10"/>
      <color rgb="FF000000"/>
      <name val="Arial1"/>
      <family val="2"/>
      <charset val="1"/>
    </font>
    <font>
      <b/>
      <sz val="18"/>
      <color rgb="FF333399"/>
      <name val="Cambria"/>
      <family val="1"/>
      <charset val="1"/>
    </font>
    <font>
      <b/>
      <sz val="18"/>
      <color rgb="FF333399"/>
      <name val="Cambria"/>
      <family val="2"/>
      <charset val="1"/>
    </font>
    <font>
      <sz val="18"/>
      <color rgb="FF333333"/>
      <name val="Calibri Light"/>
      <family val="2"/>
      <charset val="1"/>
    </font>
    <font>
      <sz val="8"/>
      <color rgb="FF000000"/>
      <name val="Arial1"/>
      <charset val="1"/>
    </font>
    <font>
      <sz val="10"/>
      <color rgb="FF000000"/>
      <name val="Arial1"/>
      <charset val="1"/>
    </font>
    <font>
      <b/>
      <sz val="12"/>
      <color rgb="FF000000"/>
      <name val="Arial1"/>
      <charset val="1"/>
    </font>
    <font>
      <b/>
      <sz val="16"/>
      <color rgb="FFFF0000"/>
      <name val="Arial1"/>
      <charset val="1"/>
    </font>
    <font>
      <b/>
      <sz val="8"/>
      <color rgb="FFFFFFFF"/>
      <name val="Arial1"/>
      <family val="2"/>
      <charset val="1"/>
    </font>
    <font>
      <b/>
      <sz val="8"/>
      <color rgb="FFFF00CC"/>
      <name val="Arial1"/>
      <family val="2"/>
      <charset val="1"/>
    </font>
    <font>
      <b/>
      <sz val="8"/>
      <color rgb="FF000000"/>
      <name val="Arial1"/>
      <family val="2"/>
      <charset val="1"/>
    </font>
    <font>
      <sz val="16"/>
      <color rgb="FFFFFFFF"/>
      <name val="Arial1"/>
      <charset val="1"/>
    </font>
    <font>
      <b/>
      <sz val="8"/>
      <color rgb="FF000000"/>
      <name val="Arial"/>
      <family val="2"/>
      <charset val="1"/>
    </font>
    <font>
      <b/>
      <sz val="10"/>
      <color rgb="FF000000"/>
      <name val="Arial1"/>
      <family val="2"/>
      <charset val="1"/>
    </font>
    <font>
      <sz val="8"/>
      <color rgb="FFFF00CC"/>
      <name val="Arial1"/>
      <family val="2"/>
      <charset val="1"/>
    </font>
    <font>
      <sz val="16"/>
      <color rgb="FF000000"/>
      <name val="Arial1"/>
      <charset val="1"/>
    </font>
    <font>
      <sz val="20"/>
      <color rgb="FF000000"/>
      <name val="Arial1"/>
      <charset val="1"/>
    </font>
    <font>
      <sz val="13"/>
      <color rgb="FF000000"/>
      <name val="Arial1"/>
      <charset val="1"/>
    </font>
    <font>
      <sz val="9"/>
      <color rgb="FF000000"/>
      <name val="Arial1"/>
      <charset val="1"/>
    </font>
    <font>
      <b/>
      <sz val="10"/>
      <color rgb="FF000000"/>
      <name val="Arial1"/>
      <charset val="1"/>
    </font>
    <font>
      <b/>
      <sz val="9"/>
      <color rgb="FF000000"/>
      <name val="Arial1"/>
      <charset val="1"/>
    </font>
    <font>
      <b/>
      <sz val="8"/>
      <color rgb="FF000000"/>
      <name val="Arial1"/>
      <charset val="1"/>
    </font>
    <font>
      <b/>
      <sz val="13"/>
      <color rgb="FF000000"/>
      <name val="Arial1"/>
      <charset val="1"/>
    </font>
    <font>
      <b/>
      <sz val="20"/>
      <color rgb="FF000000"/>
      <name val="Arial1"/>
      <charset val="1"/>
    </font>
    <font>
      <b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/>
      <i/>
      <sz val="10"/>
      <color rgb="FF000000"/>
      <name val="Arial"/>
      <family val="2"/>
      <charset val="1"/>
    </font>
    <font>
      <b/>
      <sz val="9"/>
      <color rgb="FF000000"/>
      <name val="Arial"/>
      <family val="2"/>
      <charset val="1"/>
    </font>
    <font>
      <sz val="9"/>
      <color rgb="FF000000"/>
      <name val="Arial"/>
      <family val="2"/>
      <charset val="1"/>
    </font>
    <font>
      <b/>
      <sz val="12"/>
      <color rgb="FF000000"/>
      <name val="Arial1"/>
      <family val="2"/>
      <charset val="1"/>
    </font>
    <font>
      <sz val="12"/>
      <color rgb="FF000000"/>
      <name val="Arial1"/>
      <family val="2"/>
      <charset val="1"/>
    </font>
    <font>
      <b/>
      <sz val="9"/>
      <color rgb="FFFFFFFF"/>
      <name val="Arial1"/>
      <family val="2"/>
      <charset val="1"/>
    </font>
    <font>
      <b/>
      <sz val="10"/>
      <color rgb="FFFFFFFF"/>
      <name val="Arial1"/>
      <family val="2"/>
      <charset val="1"/>
    </font>
    <font>
      <b/>
      <sz val="9"/>
      <color rgb="FF000000"/>
      <name val="Arial1"/>
      <family val="2"/>
      <charset val="1"/>
    </font>
    <font>
      <sz val="12"/>
      <color rgb="FF000000"/>
      <name val="Arial1"/>
      <charset val="1"/>
    </font>
    <font>
      <b/>
      <sz val="10"/>
      <color rgb="FF000000"/>
      <name val="Calibri"/>
      <family val="2"/>
      <charset val="1"/>
    </font>
    <font>
      <sz val="8"/>
      <color rgb="FF000000"/>
      <name val="Arial1"/>
      <family val="2"/>
      <charset val="1"/>
    </font>
    <font>
      <sz val="11"/>
      <color rgb="FF000000"/>
      <name val="Calibri"/>
      <family val="2"/>
    </font>
    <font>
      <sz val="8"/>
      <color rgb="FF000000"/>
      <name val="Arial1"/>
    </font>
    <font>
      <b/>
      <sz val="10"/>
      <color rgb="FF000080"/>
      <name val="Tahoma"/>
      <family val="2"/>
    </font>
    <font>
      <b/>
      <sz val="10"/>
      <color rgb="FF000000"/>
      <name val="Tahoma"/>
      <family val="2"/>
    </font>
    <font>
      <sz val="7"/>
      <color rgb="FF000000"/>
      <name val="Tahoma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CC99"/>
        <bgColor rgb="FFC0C0C0"/>
      </patternFill>
    </fill>
    <fill>
      <patternFill patternType="solid">
        <fgColor rgb="FFFF0000"/>
        <bgColor rgb="FFFF3333"/>
      </patternFill>
    </fill>
    <fill>
      <patternFill patternType="solid">
        <fgColor rgb="FFCC99FF"/>
        <bgColor rgb="FF9999FF"/>
      </patternFill>
    </fill>
    <fill>
      <patternFill patternType="solid">
        <fgColor rgb="FFFFFF99"/>
        <bgColor rgb="FFFFFFCC"/>
      </patternFill>
    </fill>
    <fill>
      <patternFill patternType="solid">
        <fgColor rgb="FFFFFFFF"/>
        <bgColor rgb="FFFFFFCC"/>
      </patternFill>
    </fill>
    <fill>
      <patternFill patternType="solid">
        <fgColor rgb="FFC0C0C0"/>
        <bgColor rgb="FFCCCCFF"/>
      </patternFill>
    </fill>
    <fill>
      <patternFill patternType="solid">
        <fgColor rgb="FF000000"/>
        <bgColor rgb="FF003300"/>
      </patternFill>
    </fill>
    <fill>
      <patternFill patternType="solid">
        <fgColor rgb="FF00FFFF"/>
        <bgColor rgb="FF00FFFF"/>
      </patternFill>
    </fill>
    <fill>
      <patternFill patternType="solid">
        <fgColor rgb="FF33CCCC"/>
        <bgColor rgb="FF00CC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</fills>
  <borders count="26">
    <border>
      <left/>
      <right/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hair">
        <color rgb="FFFF0000"/>
      </left>
      <right style="hair">
        <color rgb="FFFF0000"/>
      </right>
      <top style="hair">
        <color rgb="FFFF0000"/>
      </top>
      <bottom style="hair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808080"/>
      </left>
      <right/>
      <top style="thin">
        <color rgb="FFFFFFFF"/>
      </top>
      <bottom style="thin">
        <color rgb="FFFFFFFF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CCFFFF"/>
      </left>
      <right style="thin">
        <color rgb="FFCCFFFF"/>
      </right>
      <top/>
      <bottom style="thin">
        <color rgb="FFCC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8">
    <xf numFmtId="0" fontId="0" fillId="0" borderId="0"/>
    <xf numFmtId="168" fontId="48" fillId="0" borderId="0"/>
    <xf numFmtId="9" fontId="48" fillId="0" borderId="0"/>
    <xf numFmtId="0" fontId="1" fillId="0" borderId="0">
      <alignment horizontal="left"/>
    </xf>
    <xf numFmtId="0" fontId="2" fillId="0" borderId="0"/>
    <xf numFmtId="0" fontId="3" fillId="0" borderId="0" applyBorder="0" applyProtection="0"/>
    <xf numFmtId="0" fontId="2" fillId="0" borderId="0"/>
    <xf numFmtId="0" fontId="3" fillId="0" borderId="0" applyBorder="0" applyProtection="0"/>
    <xf numFmtId="0" fontId="4" fillId="0" borderId="0"/>
    <xf numFmtId="0" fontId="5" fillId="0" borderId="0" applyBorder="0" applyProtection="0"/>
    <xf numFmtId="0" fontId="48" fillId="2" borderId="1"/>
    <xf numFmtId="0" fontId="6" fillId="3" borderId="2" applyProtection="0"/>
    <xf numFmtId="0" fontId="48" fillId="4" borderId="0"/>
    <xf numFmtId="0" fontId="6" fillId="4" borderId="0" applyBorder="0" applyProtection="0"/>
    <xf numFmtId="0" fontId="7" fillId="0" borderId="0">
      <alignment horizontal="center" textRotation="90"/>
    </xf>
    <xf numFmtId="0" fontId="8" fillId="5" borderId="0" applyBorder="0" applyProtection="0"/>
    <xf numFmtId="0" fontId="9" fillId="6" borderId="0" applyBorder="0" applyProtection="0"/>
    <xf numFmtId="0" fontId="10" fillId="6" borderId="0"/>
    <xf numFmtId="0" fontId="6" fillId="0" borderId="0"/>
    <xf numFmtId="0" fontId="1" fillId="0" borderId="0"/>
    <xf numFmtId="0" fontId="1" fillId="0" borderId="0"/>
    <xf numFmtId="9" fontId="6" fillId="0" borderId="0" applyBorder="0" applyProtection="0"/>
    <xf numFmtId="0" fontId="11" fillId="0" borderId="0"/>
    <xf numFmtId="164" fontId="11" fillId="0" borderId="0"/>
    <xf numFmtId="0" fontId="12" fillId="0" borderId="0"/>
    <xf numFmtId="0" fontId="1" fillId="0" borderId="0"/>
    <xf numFmtId="164" fontId="12" fillId="0" borderId="0"/>
    <xf numFmtId="0" fontId="8" fillId="5" borderId="0"/>
    <xf numFmtId="0" fontId="13" fillId="0" borderId="0"/>
    <xf numFmtId="0" fontId="14" fillId="0" borderId="0" applyBorder="0" applyProtection="0"/>
    <xf numFmtId="0" fontId="15" fillId="0" borderId="0"/>
    <xf numFmtId="0" fontId="15" fillId="0" borderId="0"/>
    <xf numFmtId="0" fontId="1" fillId="0" borderId="0">
      <alignment horizontal="center" textRotation="90"/>
    </xf>
    <xf numFmtId="165" fontId="6" fillId="0" borderId="0" applyBorder="0" applyProtection="0"/>
    <xf numFmtId="9" fontId="48" fillId="0" borderId="0"/>
    <xf numFmtId="168" fontId="48" fillId="0" borderId="0"/>
    <xf numFmtId="0" fontId="49" fillId="0" borderId="0" applyNumberFormat="0" applyBorder="0" applyProtection="0"/>
    <xf numFmtId="0" fontId="50" fillId="0" borderId="0"/>
  </cellStyleXfs>
  <cellXfs count="234">
    <xf numFmtId="0" fontId="0" fillId="0" borderId="0" xfId="0"/>
    <xf numFmtId="0" fontId="16" fillId="0" borderId="0" xfId="0" applyFont="1"/>
    <xf numFmtId="0" fontId="0" fillId="0" borderId="0" xfId="0" applyBorder="1"/>
    <xf numFmtId="0" fontId="16" fillId="7" borderId="0" xfId="0" applyFont="1" applyFill="1" applyBorder="1" applyAlignment="1" applyProtection="1">
      <alignment horizontal="left"/>
    </xf>
    <xf numFmtId="0" fontId="0" fillId="7" borderId="0" xfId="0" applyFill="1"/>
    <xf numFmtId="0" fontId="17" fillId="0" borderId="0" xfId="19" applyFont="1" applyBorder="1" applyAlignment="1">
      <alignment horizontal="center"/>
    </xf>
    <xf numFmtId="9" fontId="16" fillId="0" borderId="0" xfId="0" applyNumberFormat="1" applyFont="1"/>
    <xf numFmtId="0" fontId="0" fillId="7" borderId="0" xfId="0" applyFill="1" applyAlignment="1"/>
    <xf numFmtId="166" fontId="17" fillId="0" borderId="0" xfId="19" applyNumberFormat="1" applyFont="1" applyBorder="1" applyAlignment="1">
      <alignment horizontal="right" wrapText="1"/>
    </xf>
    <xf numFmtId="0" fontId="16" fillId="0" borderId="0" xfId="0" applyFont="1" applyBorder="1" applyAlignment="1">
      <alignment horizontal="right" textRotation="90"/>
    </xf>
    <xf numFmtId="0" fontId="0" fillId="7" borderId="0" xfId="0" applyFill="1" applyAlignment="1" applyProtection="1"/>
    <xf numFmtId="9" fontId="16" fillId="0" borderId="0" xfId="34" applyFont="1" applyBorder="1" applyAlignment="1" applyProtection="1"/>
    <xf numFmtId="167" fontId="0" fillId="0" borderId="0" xfId="0" applyNumberFormat="1"/>
    <xf numFmtId="1" fontId="0" fillId="0" borderId="0" xfId="0" applyNumberFormat="1"/>
    <xf numFmtId="0" fontId="18" fillId="7" borderId="0" xfId="0" applyFont="1" applyFill="1" applyBorder="1" applyAlignment="1" applyProtection="1">
      <alignment horizontal="left"/>
      <protection locked="0"/>
    </xf>
    <xf numFmtId="0" fontId="18" fillId="7" borderId="0" xfId="0" applyFont="1" applyFill="1" applyBorder="1" applyAlignment="1" applyProtection="1">
      <alignment horizontal="left"/>
    </xf>
    <xf numFmtId="0" fontId="19" fillId="0" borderId="0" xfId="0" applyFont="1"/>
    <xf numFmtId="0" fontId="19" fillId="0" borderId="3" xfId="19" applyFont="1" applyBorder="1" applyAlignment="1">
      <alignment horizontal="left" wrapText="1"/>
    </xf>
    <xf numFmtId="0" fontId="16" fillId="7" borderId="0" xfId="0" applyFont="1" applyFill="1" applyBorder="1" applyAlignment="1">
      <alignment horizontal="left" vertical="center"/>
    </xf>
    <xf numFmtId="0" fontId="17" fillId="8" borderId="4" xfId="19" applyFont="1" applyFill="1" applyBorder="1" applyAlignment="1">
      <alignment horizontal="center"/>
    </xf>
    <xf numFmtId="0" fontId="20" fillId="9" borderId="0" xfId="0" applyFont="1" applyFill="1" applyAlignment="1">
      <alignment horizontal="left"/>
    </xf>
    <xf numFmtId="0" fontId="21" fillId="9" borderId="0" xfId="0" applyFont="1" applyFill="1" applyAlignment="1">
      <alignment horizontal="left"/>
    </xf>
    <xf numFmtId="0" fontId="17" fillId="0" borderId="3" xfId="19" applyFont="1" applyBorder="1" applyAlignment="1">
      <alignment horizontal="left" wrapText="1"/>
    </xf>
    <xf numFmtId="0" fontId="16" fillId="7" borderId="0" xfId="0" applyFont="1" applyFill="1" applyBorder="1" applyAlignment="1">
      <alignment horizontal="center" vertical="center"/>
    </xf>
    <xf numFmtId="0" fontId="16" fillId="7" borderId="0" xfId="0" applyFont="1" applyFill="1" applyBorder="1"/>
    <xf numFmtId="0" fontId="16" fillId="7" borderId="0" xfId="0" applyFont="1" applyFill="1" applyBorder="1" applyAlignment="1">
      <alignment horizontal="left" vertical="center" wrapText="1"/>
    </xf>
    <xf numFmtId="0" fontId="22" fillId="7" borderId="0" xfId="0" applyFont="1" applyFill="1" applyAlignment="1">
      <alignment horizontal="center" vertical="center"/>
    </xf>
    <xf numFmtId="0" fontId="0" fillId="7" borderId="0" xfId="0" applyFill="1" applyAlignment="1">
      <alignment horizontal="center"/>
    </xf>
    <xf numFmtId="169" fontId="0" fillId="7" borderId="0" xfId="35" applyNumberFormat="1" applyFont="1" applyFill="1" applyAlignment="1" applyProtection="1"/>
    <xf numFmtId="169" fontId="0" fillId="7" borderId="0" xfId="0" applyNumberFormat="1" applyFill="1"/>
    <xf numFmtId="2" fontId="0" fillId="7" borderId="0" xfId="0" applyNumberFormat="1" applyFill="1" applyBorder="1"/>
    <xf numFmtId="0" fontId="0" fillId="7" borderId="0" xfId="0" applyFill="1" applyBorder="1"/>
    <xf numFmtId="1" fontId="16" fillId="7" borderId="0" xfId="0" applyNumberFormat="1" applyFont="1" applyFill="1" applyBorder="1"/>
    <xf numFmtId="0" fontId="16" fillId="7" borderId="5" xfId="0" applyFont="1" applyFill="1" applyBorder="1" applyAlignment="1">
      <alignment horizontal="left"/>
    </xf>
    <xf numFmtId="170" fontId="16" fillId="7" borderId="5" xfId="35" applyNumberFormat="1" applyFont="1" applyFill="1" applyBorder="1" applyAlignment="1" applyProtection="1">
      <alignment horizontal="center"/>
    </xf>
    <xf numFmtId="171" fontId="16" fillId="7" borderId="5" xfId="35" applyNumberFormat="1" applyFont="1" applyFill="1" applyBorder="1" applyAlignment="1" applyProtection="1">
      <alignment horizontal="right"/>
    </xf>
    <xf numFmtId="0" fontId="0" fillId="7" borderId="6" xfId="0" applyFill="1" applyBorder="1"/>
    <xf numFmtId="0" fontId="22" fillId="8" borderId="6" xfId="0" applyFont="1" applyFill="1" applyBorder="1" applyAlignment="1">
      <alignment horizontal="center" vertical="center"/>
    </xf>
    <xf numFmtId="0" fontId="22" fillId="7" borderId="0" xfId="0" applyFont="1" applyFill="1" applyBorder="1"/>
    <xf numFmtId="1" fontId="16" fillId="7" borderId="0" xfId="0" applyNumberFormat="1" applyFont="1" applyFill="1" applyBorder="1" applyAlignment="1">
      <alignment vertical="center"/>
    </xf>
    <xf numFmtId="0" fontId="0" fillId="8" borderId="6" xfId="0" applyFont="1" applyFill="1" applyBorder="1" applyAlignment="1">
      <alignment horizontal="center" vertical="center" wrapText="1"/>
    </xf>
    <xf numFmtId="0" fontId="23" fillId="7" borderId="0" xfId="0" applyFont="1" applyFill="1" applyBorder="1" applyAlignment="1">
      <alignment horizontal="center" vertical="center"/>
    </xf>
    <xf numFmtId="9" fontId="0" fillId="6" borderId="6" xfId="34" applyFont="1" applyFill="1" applyBorder="1" applyAlignment="1" applyProtection="1">
      <alignment horizontal="center"/>
      <protection locked="0"/>
    </xf>
    <xf numFmtId="0" fontId="0" fillId="7" borderId="6" xfId="0" applyFill="1" applyBorder="1"/>
    <xf numFmtId="0" fontId="0" fillId="6" borderId="6" xfId="0" applyFill="1" applyBorder="1" applyAlignment="1" applyProtection="1">
      <alignment horizontal="center"/>
      <protection locked="0"/>
    </xf>
    <xf numFmtId="169" fontId="22" fillId="0" borderId="9" xfId="35" applyNumberFormat="1" applyFont="1" applyBorder="1" applyAlignment="1" applyProtection="1">
      <alignment horizontal="center"/>
    </xf>
    <xf numFmtId="3" fontId="0" fillId="7" borderId="10" xfId="0" applyNumberFormat="1" applyFill="1" applyBorder="1" applyAlignment="1" applyProtection="1">
      <alignment horizontal="center"/>
      <protection locked="0"/>
    </xf>
    <xf numFmtId="169" fontId="22" fillId="0" borderId="0" xfId="35" applyNumberFormat="1" applyFont="1" applyBorder="1" applyAlignment="1" applyProtection="1">
      <alignment horizontal="center"/>
    </xf>
    <xf numFmtId="4" fontId="24" fillId="0" borderId="11" xfId="33" applyNumberFormat="1" applyFont="1" applyBorder="1" applyAlignment="1" applyProtection="1">
      <alignment horizontal="center"/>
    </xf>
    <xf numFmtId="1" fontId="16" fillId="7" borderId="0" xfId="0" applyNumberFormat="1" applyFont="1" applyFill="1" applyBorder="1" applyAlignment="1">
      <alignment horizontal="center" vertical="center"/>
    </xf>
    <xf numFmtId="0" fontId="16" fillId="7" borderId="0" xfId="0" applyFont="1" applyFill="1" applyBorder="1" applyAlignment="1">
      <alignment vertical="center"/>
    </xf>
    <xf numFmtId="1" fontId="16" fillId="7" borderId="0" xfId="0" applyNumberFormat="1" applyFont="1" applyFill="1" applyBorder="1" applyAlignment="1">
      <alignment horizontal="left" vertical="center" wrapText="1"/>
    </xf>
    <xf numFmtId="169" fontId="0" fillId="0" borderId="6" xfId="35" applyNumberFormat="1" applyFont="1" applyBorder="1" applyAlignment="1" applyProtection="1">
      <alignment horizontal="center"/>
    </xf>
    <xf numFmtId="0" fontId="0" fillId="7" borderId="10" xfId="0" applyFill="1" applyBorder="1"/>
    <xf numFmtId="0" fontId="0" fillId="7" borderId="12" xfId="0" applyFill="1" applyBorder="1"/>
    <xf numFmtId="0" fontId="22" fillId="7" borderId="6" xfId="0" applyFont="1" applyFill="1" applyBorder="1" applyAlignment="1">
      <alignment horizontal="center" vertical="center"/>
    </xf>
    <xf numFmtId="0" fontId="0" fillId="7" borderId="6" xfId="0" applyFill="1" applyBorder="1" applyAlignment="1">
      <alignment horizontal="center"/>
    </xf>
    <xf numFmtId="9" fontId="0" fillId="7" borderId="6" xfId="34" applyFont="1" applyFill="1" applyBorder="1" applyAlignment="1" applyProtection="1"/>
    <xf numFmtId="2" fontId="0" fillId="7" borderId="13" xfId="0" applyNumberFormat="1" applyFill="1" applyBorder="1"/>
    <xf numFmtId="0" fontId="0" fillId="7" borderId="13" xfId="0" applyFill="1" applyBorder="1"/>
    <xf numFmtId="0" fontId="0" fillId="8" borderId="6" xfId="0" applyFont="1" applyFill="1" applyBorder="1" applyAlignment="1">
      <alignment horizontal="center" vertical="center"/>
    </xf>
    <xf numFmtId="0" fontId="0" fillId="6" borderId="6" xfId="0" applyFill="1" applyBorder="1" applyProtection="1">
      <protection locked="0"/>
    </xf>
    <xf numFmtId="1" fontId="22" fillId="0" borderId="6" xfId="0" applyNumberFormat="1" applyFont="1" applyBorder="1" applyAlignment="1">
      <alignment horizontal="center"/>
    </xf>
    <xf numFmtId="0" fontId="26" fillId="0" borderId="0" xfId="0" applyFont="1"/>
    <xf numFmtId="0" fontId="0" fillId="0" borderId="6" xfId="0" applyBorder="1"/>
    <xf numFmtId="0" fontId="0" fillId="6" borderId="6" xfId="0" applyFill="1" applyBorder="1"/>
    <xf numFmtId="0" fontId="0" fillId="6" borderId="6" xfId="0" applyFill="1" applyBorder="1" applyAlignment="1">
      <alignment horizontal="center" wrapText="1"/>
    </xf>
    <xf numFmtId="9" fontId="0" fillId="0" borderId="6" xfId="34" applyFont="1" applyBorder="1" applyAlignment="1" applyProtection="1"/>
    <xf numFmtId="9" fontId="0" fillId="0" borderId="6" xfId="34" applyFont="1" applyBorder="1" applyAlignment="1" applyProtection="1">
      <alignment horizontal="center"/>
    </xf>
    <xf numFmtId="0" fontId="16" fillId="7" borderId="0" xfId="0" applyFont="1" applyFill="1"/>
    <xf numFmtId="0" fontId="16" fillId="0" borderId="0" xfId="0" applyFont="1" applyBorder="1" applyAlignment="1">
      <alignment horizontal="left" vertical="center" wrapText="1"/>
    </xf>
    <xf numFmtId="2" fontId="0" fillId="7" borderId="0" xfId="0" applyNumberFormat="1" applyFill="1"/>
    <xf numFmtId="0" fontId="16" fillId="0" borderId="0" xfId="0" applyFont="1" applyBorder="1"/>
    <xf numFmtId="0" fontId="27" fillId="7" borderId="0" xfId="0" applyFont="1" applyFill="1" applyBorder="1" applyAlignment="1">
      <alignment horizontal="center" vertical="center"/>
    </xf>
    <xf numFmtId="1" fontId="16" fillId="0" borderId="0" xfId="0" applyNumberFormat="1" applyFont="1" applyBorder="1" applyAlignment="1">
      <alignment horizontal="left" vertical="center" wrapText="1"/>
    </xf>
    <xf numFmtId="2" fontId="0" fillId="7" borderId="6" xfId="0" applyNumberFormat="1" applyFill="1" applyBorder="1"/>
    <xf numFmtId="169" fontId="22" fillId="0" borderId="9" xfId="35" applyNumberFormat="1" applyFont="1" applyBorder="1" applyAlignment="1">
      <alignment horizontal="center"/>
    </xf>
    <xf numFmtId="169" fontId="0" fillId="0" borderId="6" xfId="35" applyNumberFormat="1" applyFont="1" applyBorder="1" applyAlignment="1">
      <alignment horizontal="center"/>
    </xf>
    <xf numFmtId="9" fontId="0" fillId="7" borderId="6" xfId="34" applyFont="1" applyFill="1" applyBorder="1"/>
    <xf numFmtId="9" fontId="0" fillId="0" borderId="6" xfId="34" applyFont="1" applyBorder="1"/>
    <xf numFmtId="9" fontId="0" fillId="0" borderId="6" xfId="34" applyFont="1" applyBorder="1" applyAlignment="1">
      <alignment horizontal="center"/>
    </xf>
    <xf numFmtId="0" fontId="28" fillId="0" borderId="0" xfId="0" applyFont="1" applyAlignment="1">
      <alignment horizontal="center" vertical="center"/>
    </xf>
    <xf numFmtId="1" fontId="17" fillId="0" borderId="0" xfId="0" applyNumberFormat="1" applyFont="1" applyAlignment="1">
      <alignment horizontal="center" vertical="center"/>
    </xf>
    <xf numFmtId="1" fontId="17" fillId="0" borderId="0" xfId="0" applyNumberFormat="1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1" fontId="16" fillId="0" borderId="0" xfId="0" applyNumberFormat="1" applyFont="1" applyAlignment="1">
      <alignment horizontal="center" wrapText="1"/>
    </xf>
    <xf numFmtId="1" fontId="29" fillId="0" borderId="0" xfId="0" applyNumberFormat="1" applyFont="1" applyAlignment="1">
      <alignment horizontal="center" vertical="center"/>
    </xf>
    <xf numFmtId="0" fontId="17" fillId="0" borderId="0" xfId="0" applyFont="1"/>
    <xf numFmtId="1" fontId="30" fillId="0" borderId="0" xfId="0" applyNumberFormat="1" applyFont="1"/>
    <xf numFmtId="0" fontId="30" fillId="0" borderId="0" xfId="0" applyFont="1"/>
    <xf numFmtId="0" fontId="16" fillId="0" borderId="0" xfId="0" applyFont="1" applyAlignment="1">
      <alignment horizontal="center" wrapText="1"/>
    </xf>
    <xf numFmtId="0" fontId="29" fillId="0" borderId="0" xfId="0" applyFont="1"/>
    <xf numFmtId="1" fontId="31" fillId="0" borderId="0" xfId="0" applyNumberFormat="1" applyFont="1"/>
    <xf numFmtId="0" fontId="32" fillId="0" borderId="0" xfId="0" applyFont="1"/>
    <xf numFmtId="0" fontId="33" fillId="0" borderId="0" xfId="0" applyFont="1" applyAlignment="1">
      <alignment horizontal="center" wrapText="1"/>
    </xf>
    <xf numFmtId="0" fontId="34" fillId="0" borderId="0" xfId="0" applyFont="1"/>
    <xf numFmtId="1" fontId="16" fillId="10" borderId="4" xfId="0" applyNumberFormat="1" applyFont="1" applyFill="1" applyBorder="1" applyAlignment="1">
      <alignment horizontal="center" vertical="center"/>
    </xf>
    <xf numFmtId="1" fontId="17" fillId="10" borderId="4" xfId="0" applyNumberFormat="1" applyFont="1" applyFill="1" applyBorder="1" applyAlignment="1">
      <alignment horizontal="left" vertical="center"/>
    </xf>
    <xf numFmtId="1" fontId="17" fillId="10" borderId="4" xfId="0" applyNumberFormat="1" applyFont="1" applyFill="1" applyBorder="1" applyAlignment="1">
      <alignment horizontal="center" vertical="center"/>
    </xf>
    <xf numFmtId="1" fontId="16" fillId="10" borderId="4" xfId="0" applyNumberFormat="1" applyFont="1" applyFill="1" applyBorder="1" applyAlignment="1">
      <alignment horizontal="center" wrapText="1"/>
    </xf>
    <xf numFmtId="0" fontId="35" fillId="0" borderId="0" xfId="0" applyFont="1" applyAlignment="1">
      <alignment horizontal="center" vertical="center"/>
    </xf>
    <xf numFmtId="1" fontId="31" fillId="2" borderId="4" xfId="0" applyNumberFormat="1" applyFont="1" applyFill="1" applyBorder="1" applyAlignment="1">
      <alignment horizontal="center" vertical="center"/>
    </xf>
    <xf numFmtId="0" fontId="31" fillId="2" borderId="4" xfId="0" applyFont="1" applyFill="1" applyBorder="1" applyAlignment="1">
      <alignment horizontal="left" vertical="center"/>
    </xf>
    <xf numFmtId="1" fontId="31" fillId="2" borderId="4" xfId="0" applyNumberFormat="1" applyFont="1" applyFill="1" applyBorder="1" applyAlignment="1">
      <alignment horizontal="left" vertical="center"/>
    </xf>
    <xf numFmtId="1" fontId="33" fillId="2" borderId="4" xfId="0" applyNumberFormat="1" applyFont="1" applyFill="1" applyBorder="1" applyAlignment="1">
      <alignment horizontal="center" vertical="center"/>
    </xf>
    <xf numFmtId="0" fontId="31" fillId="2" borderId="4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wrapText="1"/>
    </xf>
    <xf numFmtId="0" fontId="29" fillId="2" borderId="14" xfId="0" applyFont="1" applyFill="1" applyBorder="1" applyAlignment="1">
      <alignment horizontal="left" vertical="center"/>
    </xf>
    <xf numFmtId="0" fontId="31" fillId="0" borderId="0" xfId="0" applyFont="1"/>
    <xf numFmtId="1" fontId="17" fillId="0" borderId="4" xfId="0" applyNumberFormat="1" applyFont="1" applyBorder="1" applyAlignment="1">
      <alignment horizontal="center" vertical="center"/>
    </xf>
    <xf numFmtId="1" fontId="17" fillId="0" borderId="4" xfId="0" applyNumberFormat="1" applyFont="1" applyBorder="1" applyAlignment="1">
      <alignment horizontal="left" vertical="center"/>
    </xf>
    <xf numFmtId="0" fontId="17" fillId="0" borderId="4" xfId="0" applyFont="1" applyBorder="1" applyAlignment="1">
      <alignment horizontal="center" vertical="center"/>
    </xf>
    <xf numFmtId="1" fontId="16" fillId="0" borderId="14" xfId="0" applyNumberFormat="1" applyFont="1" applyBorder="1" applyAlignment="1">
      <alignment horizontal="center" vertical="center"/>
    </xf>
    <xf numFmtId="1" fontId="29" fillId="0" borderId="14" xfId="0" applyNumberFormat="1" applyFont="1" applyBorder="1" applyAlignment="1">
      <alignment horizontal="center" vertical="center"/>
    </xf>
    <xf numFmtId="1" fontId="16" fillId="0" borderId="14" xfId="0" applyNumberFormat="1" applyFont="1" applyBorder="1" applyAlignment="1">
      <alignment horizontal="center" wrapText="1"/>
    </xf>
    <xf numFmtId="1" fontId="17" fillId="2" borderId="4" xfId="0" applyNumberFormat="1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1" fontId="16" fillId="2" borderId="14" xfId="0" applyNumberFormat="1" applyFont="1" applyFill="1" applyBorder="1" applyAlignment="1">
      <alignment horizontal="center" wrapText="1"/>
    </xf>
    <xf numFmtId="1" fontId="17" fillId="2" borderId="14" xfId="0" applyNumberFormat="1" applyFont="1" applyFill="1" applyBorder="1" applyAlignment="1">
      <alignment horizontal="center" vertical="center"/>
    </xf>
    <xf numFmtId="1" fontId="29" fillId="2" borderId="14" xfId="0" applyNumberFormat="1" applyFont="1" applyFill="1" applyBorder="1" applyAlignment="1">
      <alignment horizontal="center" vertical="center"/>
    </xf>
    <xf numFmtId="1" fontId="16" fillId="2" borderId="4" xfId="0" applyNumberFormat="1" applyFont="1" applyFill="1" applyBorder="1" applyAlignment="1">
      <alignment horizontal="center" wrapText="1"/>
    </xf>
    <xf numFmtId="1" fontId="29" fillId="2" borderId="4" xfId="0" applyNumberFormat="1" applyFont="1" applyFill="1" applyBorder="1" applyAlignment="1">
      <alignment horizontal="center" vertical="center"/>
    </xf>
    <xf numFmtId="1" fontId="16" fillId="0" borderId="4" xfId="0" applyNumberFormat="1" applyFont="1" applyBorder="1" applyAlignment="1">
      <alignment horizontal="center" wrapText="1"/>
    </xf>
    <xf numFmtId="1" fontId="29" fillId="0" borderId="4" xfId="0" applyNumberFormat="1" applyFont="1" applyBorder="1" applyAlignment="1">
      <alignment horizontal="center" vertical="center"/>
    </xf>
    <xf numFmtId="49" fontId="29" fillId="0" borderId="15" xfId="0" applyNumberFormat="1" applyFont="1" applyBorder="1" applyAlignment="1">
      <alignment horizontal="center" vertical="center"/>
    </xf>
    <xf numFmtId="172" fontId="17" fillId="0" borderId="4" xfId="35" applyNumberFormat="1" applyFont="1" applyBorder="1" applyAlignment="1" applyProtection="1">
      <alignment horizontal="center" vertical="center"/>
    </xf>
    <xf numFmtId="0" fontId="17" fillId="0" borderId="4" xfId="0" applyFont="1" applyBorder="1" applyAlignment="1">
      <alignment horizontal="center" wrapText="1"/>
    </xf>
    <xf numFmtId="1" fontId="17" fillId="0" borderId="16" xfId="0" applyNumberFormat="1" applyFont="1" applyBorder="1" applyAlignment="1">
      <alignment horizontal="left" vertical="center"/>
    </xf>
    <xf numFmtId="1" fontId="29" fillId="0" borderId="15" xfId="0" applyNumberFormat="1" applyFont="1" applyBorder="1" applyAlignment="1">
      <alignment horizontal="center" vertical="center"/>
    </xf>
    <xf numFmtId="49" fontId="29" fillId="0" borderId="14" xfId="0" applyNumberFormat="1" applyFont="1" applyBorder="1" applyAlignment="1">
      <alignment horizontal="center" vertical="center"/>
    </xf>
    <xf numFmtId="49" fontId="17" fillId="0" borderId="16" xfId="0" applyNumberFormat="1" applyFont="1" applyBorder="1" applyAlignment="1">
      <alignment horizontal="center" vertical="center"/>
    </xf>
    <xf numFmtId="1" fontId="29" fillId="7" borderId="14" xfId="0" applyNumberFormat="1" applyFont="1" applyFill="1" applyBorder="1" applyAlignment="1">
      <alignment horizontal="center" vertical="center"/>
    </xf>
    <xf numFmtId="1" fontId="16" fillId="7" borderId="14" xfId="0" applyNumberFormat="1" applyFont="1" applyFill="1" applyBorder="1" applyAlignment="1">
      <alignment horizontal="center" wrapText="1"/>
    </xf>
    <xf numFmtId="1" fontId="17" fillId="7" borderId="4" xfId="0" applyNumberFormat="1" applyFont="1" applyFill="1" applyBorder="1" applyAlignment="1">
      <alignment horizontal="center" vertical="center"/>
    </xf>
    <xf numFmtId="1" fontId="17" fillId="0" borderId="16" xfId="0" applyNumberFormat="1" applyFont="1" applyBorder="1" applyAlignment="1">
      <alignment horizontal="center" vertical="center"/>
    </xf>
    <xf numFmtId="1" fontId="16" fillId="0" borderId="16" xfId="0" applyNumberFormat="1" applyFont="1" applyBorder="1" applyAlignment="1">
      <alignment horizontal="left" wrapText="1"/>
    </xf>
    <xf numFmtId="1" fontId="16" fillId="0" borderId="15" xfId="0" applyNumberFormat="1" applyFont="1" applyBorder="1" applyAlignment="1">
      <alignment horizontal="center" wrapText="1"/>
    </xf>
    <xf numFmtId="1" fontId="17" fillId="0" borderId="15" xfId="0" applyNumberFormat="1" applyFont="1" applyBorder="1" applyAlignment="1">
      <alignment horizontal="center" vertical="center"/>
    </xf>
    <xf numFmtId="49" fontId="17" fillId="0" borderId="4" xfId="0" applyNumberFormat="1" applyFont="1" applyBorder="1" applyAlignment="1">
      <alignment horizontal="center" vertical="center"/>
    </xf>
    <xf numFmtId="49" fontId="16" fillId="0" borderId="14" xfId="0" applyNumberFormat="1" applyFont="1" applyBorder="1" applyAlignment="1">
      <alignment horizontal="center" wrapText="1"/>
    </xf>
    <xf numFmtId="1" fontId="30" fillId="0" borderId="4" xfId="0" applyNumberFormat="1" applyFont="1" applyBorder="1" applyAlignment="1">
      <alignment horizontal="left" vertical="center"/>
    </xf>
    <xf numFmtId="1" fontId="17" fillId="0" borderId="4" xfId="0" applyNumberFormat="1" applyFont="1" applyBorder="1" applyAlignment="1">
      <alignment horizontal="center" wrapText="1"/>
    </xf>
    <xf numFmtId="1" fontId="16" fillId="0" borderId="16" xfId="0" applyNumberFormat="1" applyFont="1" applyBorder="1" applyAlignment="1">
      <alignment horizontal="center" wrapText="1"/>
    </xf>
    <xf numFmtId="1" fontId="29" fillId="0" borderId="16" xfId="0" applyNumberFormat="1" applyFont="1" applyBorder="1" applyAlignment="1">
      <alignment horizontal="center" vertical="center"/>
    </xf>
    <xf numFmtId="1" fontId="16" fillId="0" borderId="15" xfId="0" applyNumberFormat="1" applyFont="1" applyBorder="1" applyAlignment="1">
      <alignment horizontal="center" vertical="center"/>
    </xf>
    <xf numFmtId="1" fontId="17" fillId="0" borderId="14" xfId="0" applyNumberFormat="1" applyFont="1" applyBorder="1" applyAlignment="1">
      <alignment horizontal="center" vertical="center"/>
    </xf>
    <xf numFmtId="0" fontId="0" fillId="7" borderId="0" xfId="0" applyFont="1" applyFill="1" applyAlignment="1">
      <alignment horizontal="left"/>
    </xf>
    <xf numFmtId="9" fontId="48" fillId="7" borderId="0" xfId="2" applyFill="1"/>
    <xf numFmtId="0" fontId="22" fillId="7" borderId="0" xfId="0" applyFont="1" applyFill="1"/>
    <xf numFmtId="173" fontId="0" fillId="7" borderId="0" xfId="0" applyNumberFormat="1" applyFill="1"/>
    <xf numFmtId="0" fontId="41" fillId="7" borderId="0" xfId="0" applyFont="1" applyFill="1" applyAlignment="1" applyProtection="1">
      <alignment horizontal="left"/>
      <protection locked="0"/>
    </xf>
    <xf numFmtId="0" fontId="42" fillId="7" borderId="0" xfId="0" applyFont="1" applyFill="1"/>
    <xf numFmtId="0" fontId="41" fillId="7" borderId="0" xfId="0" applyFont="1" applyFill="1"/>
    <xf numFmtId="173" fontId="42" fillId="7" borderId="0" xfId="0" applyNumberFormat="1" applyFont="1" applyFill="1"/>
    <xf numFmtId="0" fontId="22" fillId="7" borderId="0" xfId="0" applyFont="1" applyFill="1" applyAlignment="1">
      <alignment horizontal="left"/>
    </xf>
    <xf numFmtId="0" fontId="20" fillId="11" borderId="17" xfId="0" applyFont="1" applyFill="1" applyBorder="1" applyAlignment="1">
      <alignment horizontal="center" vertical="center"/>
    </xf>
    <xf numFmtId="0" fontId="33" fillId="8" borderId="10" xfId="0" applyFont="1" applyFill="1" applyBorder="1" applyAlignment="1">
      <alignment horizontal="left" vertical="center" wrapText="1"/>
    </xf>
    <xf numFmtId="175" fontId="0" fillId="7" borderId="6" xfId="1" applyNumberFormat="1" applyFont="1" applyFill="1" applyBorder="1" applyAlignment="1">
      <alignment horizontal="center" vertical="center"/>
    </xf>
    <xf numFmtId="175" fontId="0" fillId="7" borderId="6" xfId="0" applyNumberFormat="1" applyFont="1" applyFill="1" applyBorder="1" applyAlignment="1">
      <alignment horizontal="center" vertical="center"/>
    </xf>
    <xf numFmtId="9" fontId="0" fillId="7" borderId="6" xfId="2" applyFont="1" applyFill="1" applyBorder="1" applyAlignment="1">
      <alignment horizontal="center" vertical="center"/>
    </xf>
    <xf numFmtId="3" fontId="0" fillId="6" borderId="6" xfId="0" applyNumberFormat="1" applyFont="1" applyFill="1" applyBorder="1" applyAlignment="1" applyProtection="1">
      <alignment horizontal="center"/>
      <protection locked="0"/>
    </xf>
    <xf numFmtId="1" fontId="22" fillId="7" borderId="6" xfId="0" applyNumberFormat="1" applyFont="1" applyFill="1" applyBorder="1" applyAlignment="1">
      <alignment horizontal="center" vertical="center"/>
    </xf>
    <xf numFmtId="9" fontId="0" fillId="6" borderId="6" xfId="2" applyFont="1" applyFill="1" applyBorder="1" applyAlignment="1" applyProtection="1">
      <alignment horizontal="center"/>
      <protection locked="0"/>
    </xf>
    <xf numFmtId="1" fontId="0" fillId="6" borderId="6" xfId="0" applyNumberFormat="1" applyFont="1" applyFill="1" applyBorder="1" applyAlignment="1" applyProtection="1">
      <alignment horizontal="center"/>
      <protection locked="0"/>
    </xf>
    <xf numFmtId="3" fontId="0" fillId="7" borderId="6" xfId="0" applyNumberFormat="1" applyFont="1" applyFill="1" applyBorder="1" applyAlignment="1">
      <alignment horizontal="center"/>
    </xf>
    <xf numFmtId="3" fontId="22" fillId="7" borderId="6" xfId="0" applyNumberFormat="1" applyFont="1" applyFill="1" applyBorder="1" applyAlignment="1">
      <alignment horizontal="center"/>
    </xf>
    <xf numFmtId="0" fontId="0" fillId="8" borderId="10" xfId="0" applyFont="1" applyFill="1" applyBorder="1" applyAlignment="1">
      <alignment horizontal="left" vertical="center" wrapText="1"/>
    </xf>
    <xf numFmtId="3" fontId="45" fillId="8" borderId="13" xfId="0" applyNumberFormat="1" applyFont="1" applyFill="1" applyBorder="1" applyAlignment="1">
      <alignment horizontal="left" vertical="top"/>
    </xf>
    <xf numFmtId="3" fontId="25" fillId="8" borderId="13" xfId="0" applyNumberFormat="1" applyFont="1" applyFill="1" applyBorder="1" applyAlignment="1">
      <alignment horizontal="center" vertical="center"/>
    </xf>
    <xf numFmtId="0" fontId="0" fillId="7" borderId="0" xfId="0" applyFont="1" applyFill="1" applyAlignment="1">
      <alignment horizontal="center" vertical="center"/>
    </xf>
    <xf numFmtId="3" fontId="22" fillId="0" borderId="13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9" fontId="0" fillId="0" borderId="0" xfId="0" applyNumberFormat="1"/>
    <xf numFmtId="1" fontId="0" fillId="7" borderId="18" xfId="0" applyNumberFormat="1" applyFont="1" applyFill="1" applyBorder="1" applyAlignment="1">
      <alignment horizontal="center" wrapText="1"/>
    </xf>
    <xf numFmtId="1" fontId="0" fillId="7" borderId="18" xfId="0" applyNumberFormat="1" applyFill="1" applyBorder="1" applyAlignment="1">
      <alignment horizontal="center"/>
    </xf>
    <xf numFmtId="0" fontId="18" fillId="7" borderId="0" xfId="0" applyFont="1" applyFill="1" applyAlignment="1" applyProtection="1">
      <alignment horizontal="left"/>
      <protection locked="0"/>
    </xf>
    <xf numFmtId="0" fontId="46" fillId="7" borderId="0" xfId="0" applyFont="1" applyFill="1"/>
    <xf numFmtId="173" fontId="46" fillId="7" borderId="0" xfId="0" applyNumberFormat="1" applyFont="1" applyFill="1"/>
    <xf numFmtId="0" fontId="33" fillId="12" borderId="17" xfId="0" applyFont="1" applyFill="1" applyBorder="1" applyAlignment="1">
      <alignment horizontal="center" vertical="center"/>
    </xf>
    <xf numFmtId="0" fontId="0" fillId="7" borderId="0" xfId="0" applyFill="1" applyAlignment="1">
      <alignment horizontal="right" textRotation="90"/>
    </xf>
    <xf numFmtId="176" fontId="33" fillId="7" borderId="19" xfId="0" applyNumberFormat="1" applyFont="1" applyFill="1" applyBorder="1" applyAlignment="1">
      <alignment horizontal="left"/>
    </xf>
    <xf numFmtId="9" fontId="16" fillId="7" borderId="19" xfId="34" applyFont="1" applyFill="1" applyBorder="1" applyAlignment="1" applyProtection="1">
      <alignment horizontal="center" vertical="center"/>
    </xf>
    <xf numFmtId="3" fontId="16" fillId="6" borderId="19" xfId="0" applyNumberFormat="1" applyFont="1" applyFill="1" applyBorder="1" applyAlignment="1">
      <alignment horizontal="center"/>
    </xf>
    <xf numFmtId="0" fontId="17" fillId="7" borderId="0" xfId="20" applyFont="1" applyFill="1"/>
    <xf numFmtId="175" fontId="16" fillId="7" borderId="19" xfId="35" applyNumberFormat="1" applyFont="1" applyFill="1" applyBorder="1" applyAlignment="1" applyProtection="1">
      <alignment horizontal="center" vertical="center"/>
    </xf>
    <xf numFmtId="0" fontId="47" fillId="0" borderId="0" xfId="20" applyFont="1" applyAlignment="1">
      <alignment horizontal="center" vertical="center" wrapText="1"/>
    </xf>
    <xf numFmtId="0" fontId="33" fillId="12" borderId="17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22" fillId="0" borderId="0" xfId="0" applyFont="1"/>
    <xf numFmtId="176" fontId="33" fillId="0" borderId="20" xfId="0" applyNumberFormat="1" applyFont="1" applyBorder="1" applyAlignment="1">
      <alignment horizontal="right"/>
    </xf>
    <xf numFmtId="175" fontId="32" fillId="8" borderId="19" xfId="35" applyNumberFormat="1" applyFont="1" applyFill="1" applyBorder="1" applyAlignment="1" applyProtection="1">
      <alignment horizontal="center" vertical="center"/>
    </xf>
    <xf numFmtId="9" fontId="32" fillId="8" borderId="19" xfId="34" applyFont="1" applyFill="1" applyBorder="1" applyAlignment="1" applyProtection="1">
      <alignment horizontal="center" vertical="center"/>
    </xf>
    <xf numFmtId="0" fontId="33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168" fontId="16" fillId="0" borderId="0" xfId="35" applyFont="1" applyBorder="1" applyAlignment="1" applyProtection="1"/>
    <xf numFmtId="0" fontId="0" fillId="0" borderId="0" xfId="0" applyBorder="1"/>
    <xf numFmtId="0" fontId="0" fillId="7" borderId="6" xfId="0" applyFill="1" applyBorder="1"/>
    <xf numFmtId="0" fontId="0" fillId="8" borderId="6" xfId="0" applyFill="1" applyBorder="1"/>
    <xf numFmtId="0" fontId="0" fillId="8" borderId="6" xfId="0" applyFont="1" applyFill="1" applyBorder="1" applyAlignment="1">
      <alignment horizontal="center" vertical="center"/>
    </xf>
    <xf numFmtId="0" fontId="0" fillId="8" borderId="6" xfId="0" applyFont="1" applyFill="1" applyBorder="1" applyAlignment="1">
      <alignment horizontal="center" vertical="center" wrapText="1"/>
    </xf>
    <xf numFmtId="0" fontId="22" fillId="8" borderId="6" xfId="0" applyFont="1" applyFill="1" applyBorder="1" applyAlignment="1">
      <alignment horizontal="center" vertical="center"/>
    </xf>
    <xf numFmtId="0" fontId="22" fillId="6" borderId="6" xfId="0" applyFont="1" applyFill="1" applyBorder="1" applyAlignment="1" applyProtection="1">
      <alignment horizontal="center" vertical="center"/>
      <protection locked="0"/>
    </xf>
    <xf numFmtId="0" fontId="0" fillId="7" borderId="0" xfId="0" applyFill="1" applyBorder="1"/>
    <xf numFmtId="0" fontId="25" fillId="8" borderId="6" xfId="0" applyFont="1" applyFill="1" applyBorder="1" applyAlignment="1">
      <alignment horizontal="center" vertical="center" textRotation="45"/>
    </xf>
    <xf numFmtId="0" fontId="22" fillId="8" borderId="6" xfId="0" applyFont="1" applyFill="1" applyBorder="1" applyAlignment="1">
      <alignment horizontal="center"/>
    </xf>
    <xf numFmtId="0" fontId="22" fillId="8" borderId="6" xfId="0" applyFont="1" applyFill="1" applyBorder="1" applyAlignment="1">
      <alignment horizontal="center" vertical="center" wrapText="1"/>
    </xf>
    <xf numFmtId="0" fontId="22" fillId="8" borderId="7" xfId="0" applyFont="1" applyFill="1" applyBorder="1" applyAlignment="1">
      <alignment horizontal="center" vertical="center" wrapText="1"/>
    </xf>
    <xf numFmtId="0" fontId="0" fillId="7" borderId="8" xfId="0" applyFill="1" applyBorder="1"/>
    <xf numFmtId="0" fontId="22" fillId="0" borderId="0" xfId="0" applyFont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wrapText="1"/>
    </xf>
    <xf numFmtId="1" fontId="17" fillId="10" borderId="4" xfId="0" applyNumberFormat="1" applyFont="1" applyFill="1" applyBorder="1" applyAlignment="1">
      <alignment horizontal="center" vertical="center"/>
    </xf>
    <xf numFmtId="0" fontId="16" fillId="7" borderId="18" xfId="0" applyFont="1" applyFill="1" applyBorder="1" applyAlignment="1">
      <alignment horizontal="center" vertical="center" wrapText="1"/>
    </xf>
    <xf numFmtId="0" fontId="20" fillId="11" borderId="6" xfId="0" applyFont="1" applyFill="1" applyBorder="1" applyAlignment="1">
      <alignment horizontal="center"/>
    </xf>
    <xf numFmtId="174" fontId="43" fillId="11" borderId="6" xfId="0" applyNumberFormat="1" applyFont="1" applyFill="1" applyBorder="1" applyAlignment="1">
      <alignment horizontal="center" vertical="center" wrapText="1"/>
    </xf>
    <xf numFmtId="0" fontId="44" fillId="11" borderId="12" xfId="0" applyFont="1" applyFill="1" applyBorder="1" applyAlignment="1">
      <alignment horizontal="left" vertical="center"/>
    </xf>
    <xf numFmtId="0" fontId="43" fillId="11" borderId="6" xfId="0" applyFont="1" applyFill="1" applyBorder="1" applyAlignment="1">
      <alignment horizontal="center" vertical="center" wrapText="1"/>
    </xf>
    <xf numFmtId="9" fontId="43" fillId="11" borderId="6" xfId="2" applyFont="1" applyFill="1" applyBorder="1" applyAlignment="1">
      <alignment horizontal="center" vertical="center" wrapText="1"/>
    </xf>
    <xf numFmtId="0" fontId="20" fillId="11" borderId="6" xfId="0" applyFont="1" applyFill="1" applyBorder="1" applyAlignment="1">
      <alignment horizontal="center" vertical="center" wrapText="1"/>
    </xf>
    <xf numFmtId="0" fontId="49" fillId="0" borderId="0" xfId="36" applyFont="1" applyFill="1" applyAlignment="1"/>
    <xf numFmtId="0" fontId="50" fillId="0" borderId="0" xfId="37"/>
    <xf numFmtId="0" fontId="51" fillId="13" borderId="21" xfId="36" applyFont="1" applyFill="1" applyBorder="1" applyAlignment="1">
      <alignment horizontal="center"/>
    </xf>
    <xf numFmtId="0" fontId="52" fillId="0" borderId="21" xfId="36" applyFont="1" applyFill="1" applyBorder="1" applyAlignment="1">
      <alignment horizontal="center"/>
    </xf>
    <xf numFmtId="0" fontId="52" fillId="0" borderId="21" xfId="36" applyFont="1" applyFill="1" applyBorder="1" applyAlignment="1">
      <alignment horizontal="left"/>
    </xf>
    <xf numFmtId="0" fontId="52" fillId="0" borderId="21" xfId="36" applyFont="1" applyFill="1" applyBorder="1" applyAlignment="1">
      <alignment horizontal="center"/>
    </xf>
    <xf numFmtId="0" fontId="49" fillId="0" borderId="21" xfId="36" applyFont="1" applyFill="1" applyBorder="1" applyAlignment="1"/>
    <xf numFmtId="0" fontId="49" fillId="0" borderId="22" xfId="36" applyFont="1" applyFill="1" applyBorder="1" applyAlignment="1"/>
    <xf numFmtId="0" fontId="52" fillId="0" borderId="22" xfId="36" applyFont="1" applyFill="1" applyBorder="1" applyAlignment="1">
      <alignment horizontal="center"/>
    </xf>
    <xf numFmtId="0" fontId="53" fillId="0" borderId="23" xfId="36" applyFont="1" applyFill="1" applyBorder="1" applyAlignment="1">
      <alignment horizontal="center"/>
    </xf>
    <xf numFmtId="0" fontId="52" fillId="0" borderId="24" xfId="36" applyFont="1" applyFill="1" applyBorder="1" applyAlignment="1">
      <alignment horizontal="center"/>
    </xf>
    <xf numFmtId="0" fontId="53" fillId="0" borderId="21" xfId="36" applyFont="1" applyFill="1" applyBorder="1" applyAlignment="1">
      <alignment horizontal="center"/>
    </xf>
    <xf numFmtId="0" fontId="49" fillId="0" borderId="23" xfId="36" applyFont="1" applyFill="1" applyBorder="1" applyAlignment="1"/>
    <xf numFmtId="0" fontId="49" fillId="0" borderId="25" xfId="36" applyFont="1" applyFill="1" applyBorder="1" applyAlignment="1"/>
    <xf numFmtId="0" fontId="53" fillId="0" borderId="25" xfId="36" applyFont="1" applyFill="1" applyBorder="1" applyAlignment="1">
      <alignment horizontal="center"/>
    </xf>
    <xf numFmtId="0" fontId="53" fillId="14" borderId="21" xfId="36" applyFont="1" applyFill="1" applyBorder="1" applyAlignment="1">
      <alignment horizontal="center"/>
    </xf>
  </cellXfs>
  <cellStyles count="38">
    <cellStyle name="Categoria da tabela dinâmica" xfId="3"/>
    <cellStyle name="cf1" xfId="4"/>
    <cellStyle name="cf1 2" xfId="5"/>
    <cellStyle name="cf2" xfId="6"/>
    <cellStyle name="cf2 2" xfId="7"/>
    <cellStyle name="cf3" xfId="8"/>
    <cellStyle name="cf3 2" xfId="9"/>
    <cellStyle name="cf4" xfId="10"/>
    <cellStyle name="cf4 2" xfId="11"/>
    <cellStyle name="cf5" xfId="12"/>
    <cellStyle name="cf5 2" xfId="13"/>
    <cellStyle name="Excel_BuiltIn_Comma 1" xfId="35"/>
    <cellStyle name="Excel_BuiltIn_Percent 1" xfId="34"/>
    <cellStyle name="Heading1" xfId="14"/>
    <cellStyle name="Incorreto 2" xfId="15"/>
    <cellStyle name="Neutra 2" xfId="16"/>
    <cellStyle name="Neutro" xfId="17"/>
    <cellStyle name="Normal" xfId="0" builtinId="0"/>
    <cellStyle name="Normal 2" xfId="18"/>
    <cellStyle name="Normal 2 2" xfId="36"/>
    <cellStyle name="Normal 3" xfId="37"/>
    <cellStyle name="Normal_Bovinos" xfId="19"/>
    <cellStyle name="Normal_Recepção Latcinios" xfId="20"/>
    <cellStyle name="Porcentagem" xfId="2" builtinId="5"/>
    <cellStyle name="Porcentagem 2" xfId="21"/>
    <cellStyle name="Result" xfId="22"/>
    <cellStyle name="Result2" xfId="23"/>
    <cellStyle name="Resultado 1" xfId="24"/>
    <cellStyle name="Resultado da tabela dinâmica" xfId="25"/>
    <cellStyle name="Resultado2 1" xfId="26"/>
    <cellStyle name="Ruim" xfId="27"/>
    <cellStyle name="Título 5" xfId="28"/>
    <cellStyle name="Título 5 2" xfId="29"/>
    <cellStyle name="Título 6" xfId="30"/>
    <cellStyle name="Título 7" xfId="31"/>
    <cellStyle name="Título1 1" xfId="32"/>
    <cellStyle name="Vírgula" xfId="1" builtinId="3"/>
    <cellStyle name="Vírgula 2" xfId="33"/>
  </cellStyles>
  <dxfs count="135">
    <dxf>
      <font>
        <color rgb="FF000000"/>
      </font>
      <fill>
        <patternFill>
          <bgColor rgb="FFFF0000"/>
        </patternFill>
      </fill>
    </dxf>
    <dxf>
      <font>
        <color rgb="FF000000"/>
      </font>
      <fill>
        <patternFill>
          <bgColor rgb="FFFF0000"/>
        </patternFill>
      </fill>
    </dxf>
    <dxf>
      <font>
        <color rgb="FF000000"/>
      </font>
      <fill>
        <patternFill>
          <bgColor rgb="FFFF0000"/>
        </patternFill>
      </fill>
    </dxf>
    <dxf>
      <font>
        <color rgb="FF000000"/>
      </font>
      <fill>
        <patternFill>
          <bgColor rgb="FFFF0000"/>
        </patternFill>
      </fill>
    </dxf>
    <dxf>
      <font>
        <color rgb="FF000000"/>
      </font>
      <fill>
        <patternFill>
          <bgColor rgb="FFFF0000"/>
        </patternFill>
      </fill>
    </dxf>
    <dxf>
      <font>
        <color rgb="FF000000"/>
      </font>
      <fill>
        <patternFill>
          <bgColor rgb="FFFF0000"/>
        </patternFill>
      </fill>
    </dxf>
    <dxf>
      <font>
        <color rgb="FF000000"/>
      </font>
      <fill>
        <patternFill>
          <bgColor rgb="FFFF0000"/>
        </patternFill>
      </fill>
    </dxf>
    <dxf>
      <font>
        <color rgb="FF000000"/>
      </font>
      <fill>
        <patternFill>
          <bgColor rgb="FFFF0000"/>
        </patternFill>
      </fill>
    </dxf>
    <dxf>
      <font>
        <color rgb="FF000000"/>
      </font>
      <fill>
        <patternFill>
          <bgColor rgb="FFFF0000"/>
        </patternFill>
      </fill>
    </dxf>
    <dxf>
      <font>
        <color rgb="FF000000"/>
      </font>
      <fill>
        <patternFill>
          <bgColor rgb="FFFF0000"/>
        </patternFill>
      </fill>
    </dxf>
    <dxf>
      <font>
        <color rgb="FF000000"/>
      </font>
      <fill>
        <patternFill>
          <bgColor rgb="FFFF0000"/>
        </patternFill>
      </fill>
    </dxf>
    <dxf>
      <font>
        <color rgb="FF000000"/>
      </font>
      <fill>
        <patternFill>
          <bgColor rgb="FFFF0000"/>
        </patternFill>
      </fill>
    </dxf>
    <dxf>
      <font>
        <color rgb="FF000000"/>
      </font>
      <fill>
        <patternFill>
          <bgColor rgb="FFFF0000"/>
        </patternFill>
      </fill>
    </dxf>
    <dxf>
      <font>
        <color rgb="FF000000"/>
      </font>
      <fill>
        <patternFill>
          <bgColor rgb="FFFF0000"/>
        </patternFill>
      </fill>
    </dxf>
    <dxf>
      <font>
        <color rgb="FF000000"/>
      </font>
      <fill>
        <patternFill>
          <bgColor rgb="FFFF0000"/>
        </patternFill>
      </fill>
    </dxf>
    <dxf>
      <font>
        <b val="0"/>
        <sz val="8"/>
        <color rgb="FF000000"/>
      </font>
      <fill>
        <patternFill>
          <bgColor rgb="FFFF0000"/>
        </patternFill>
      </fill>
    </dxf>
    <dxf>
      <font>
        <b val="0"/>
        <sz val="8"/>
        <color rgb="FF000000"/>
      </font>
      <fill>
        <patternFill>
          <bgColor rgb="FFFF0000"/>
        </patternFill>
      </fill>
    </dxf>
    <dxf>
      <font>
        <b val="0"/>
        <sz val="8"/>
        <color rgb="FF000000"/>
      </font>
      <fill>
        <patternFill>
          <bgColor rgb="FFFF0000"/>
        </patternFill>
      </fill>
    </dxf>
    <dxf>
      <font>
        <b val="0"/>
        <sz val="8"/>
        <color rgb="FF000000"/>
      </font>
      <fill>
        <patternFill>
          <bgColor rgb="FFFF0000"/>
        </patternFill>
      </fill>
    </dxf>
    <dxf>
      <font>
        <b val="0"/>
        <sz val="8"/>
        <color rgb="FF000000"/>
      </font>
      <fill>
        <patternFill>
          <bgColor rgb="FFFF0000"/>
        </patternFill>
      </fill>
    </dxf>
    <dxf>
      <font>
        <b val="0"/>
        <sz val="8"/>
        <color rgb="FF339966"/>
      </font>
      <fill>
        <patternFill>
          <bgColor rgb="FFFFFFFF"/>
        </patternFill>
      </fill>
    </dxf>
    <dxf>
      <font>
        <b val="0"/>
        <sz val="8"/>
        <color rgb="FFFF0000"/>
      </font>
      <fill>
        <patternFill>
          <bgColor rgb="FFFFFFFF"/>
        </patternFill>
      </fill>
    </dxf>
    <dxf>
      <font>
        <b val="0"/>
        <sz val="8"/>
        <color rgb="FFFF0000"/>
      </font>
    </dxf>
    <dxf>
      <font>
        <b val="0"/>
        <sz val="8"/>
        <color rgb="FF000000"/>
      </font>
      <fill>
        <patternFill>
          <bgColor rgb="FFFF0000"/>
        </patternFill>
      </fill>
    </dxf>
    <dxf>
      <font>
        <b val="0"/>
        <sz val="8"/>
        <color rgb="FF000000"/>
      </font>
      <fill>
        <patternFill>
          <bgColor rgb="FFFF0000"/>
        </patternFill>
      </fill>
    </dxf>
    <dxf>
      <font>
        <b val="0"/>
        <sz val="8"/>
        <color rgb="FF000000"/>
      </font>
      <fill>
        <patternFill>
          <bgColor rgb="FFFF0000"/>
        </patternFill>
      </fill>
    </dxf>
    <dxf>
      <font>
        <b val="0"/>
        <sz val="8"/>
        <color rgb="FF000000"/>
      </font>
      <fill>
        <patternFill>
          <bgColor rgb="FFFF0000"/>
        </patternFill>
      </fill>
    </dxf>
    <dxf>
      <font>
        <b val="0"/>
        <sz val="8"/>
        <color rgb="FF000000"/>
      </font>
      <fill>
        <patternFill>
          <bgColor rgb="FFFF0000"/>
        </patternFill>
      </fill>
    </dxf>
    <dxf>
      <font>
        <b val="0"/>
        <sz val="8"/>
        <color rgb="FF339966"/>
      </font>
      <fill>
        <patternFill>
          <bgColor rgb="FFFFFFFF"/>
        </patternFill>
      </fill>
    </dxf>
    <dxf>
      <font>
        <b val="0"/>
        <sz val="8"/>
        <color rgb="FFFF0000"/>
      </font>
      <fill>
        <patternFill>
          <bgColor rgb="FFFFFFFF"/>
        </patternFill>
      </fill>
    </dxf>
    <dxf>
      <font>
        <b val="0"/>
        <sz val="8"/>
        <color rgb="FFFF0000"/>
      </font>
    </dxf>
    <dxf>
      <font>
        <b val="0"/>
        <sz val="8"/>
        <color rgb="FF000000"/>
      </font>
      <fill>
        <patternFill>
          <bgColor rgb="FFFF0000"/>
        </patternFill>
      </fill>
    </dxf>
    <dxf>
      <font>
        <b val="0"/>
        <sz val="8"/>
        <color rgb="FF000000"/>
      </font>
      <fill>
        <patternFill>
          <bgColor rgb="FFFF0000"/>
        </patternFill>
      </fill>
    </dxf>
    <dxf>
      <font>
        <b val="0"/>
        <sz val="8"/>
        <color rgb="FF000000"/>
      </font>
      <fill>
        <patternFill>
          <bgColor rgb="FFFF0000"/>
        </patternFill>
      </fill>
    </dxf>
    <dxf>
      <font>
        <b val="0"/>
        <sz val="8"/>
        <color rgb="FF000000"/>
      </font>
      <fill>
        <patternFill>
          <bgColor rgb="FFFF0000"/>
        </patternFill>
      </fill>
    </dxf>
    <dxf>
      <font>
        <b val="0"/>
        <sz val="8"/>
        <color rgb="FF000000"/>
      </font>
      <fill>
        <patternFill>
          <bgColor rgb="FFFF0000"/>
        </patternFill>
      </fill>
    </dxf>
    <dxf>
      <font>
        <b val="0"/>
        <sz val="8"/>
        <color rgb="FF339966"/>
      </font>
      <fill>
        <patternFill>
          <bgColor rgb="FFFFFFFF"/>
        </patternFill>
      </fill>
    </dxf>
    <dxf>
      <font>
        <b val="0"/>
        <sz val="8"/>
        <color rgb="FFFF0000"/>
      </font>
      <fill>
        <patternFill>
          <bgColor rgb="FFFFFFFF"/>
        </patternFill>
      </fill>
    </dxf>
    <dxf>
      <font>
        <b val="0"/>
        <sz val="8"/>
        <color rgb="FFFF0000"/>
      </font>
    </dxf>
    <dxf>
      <font>
        <b val="0"/>
        <sz val="8"/>
        <color rgb="FF000000"/>
      </font>
      <fill>
        <patternFill>
          <bgColor rgb="FFFF0000"/>
        </patternFill>
      </fill>
    </dxf>
    <dxf>
      <font>
        <b val="0"/>
        <sz val="8"/>
        <color rgb="FF000000"/>
      </font>
      <fill>
        <patternFill>
          <bgColor rgb="FFFF0000"/>
        </patternFill>
      </fill>
    </dxf>
    <dxf>
      <font>
        <b val="0"/>
        <sz val="8"/>
        <color rgb="FF000000"/>
      </font>
      <fill>
        <patternFill>
          <bgColor rgb="FFFF0000"/>
        </patternFill>
      </fill>
    </dxf>
    <dxf>
      <font>
        <b val="0"/>
        <sz val="8"/>
        <color rgb="FF000000"/>
      </font>
      <fill>
        <patternFill>
          <bgColor rgb="FFFF0000"/>
        </patternFill>
      </fill>
    </dxf>
    <dxf>
      <font>
        <b val="0"/>
        <sz val="8"/>
        <color rgb="FF000000"/>
      </font>
      <fill>
        <patternFill>
          <bgColor rgb="FFFF0000"/>
        </patternFill>
      </fill>
    </dxf>
    <dxf>
      <font>
        <b val="0"/>
        <sz val="8"/>
        <color rgb="FF339966"/>
      </font>
      <fill>
        <patternFill>
          <bgColor rgb="FFFFFFFF"/>
        </patternFill>
      </fill>
    </dxf>
    <dxf>
      <font>
        <b val="0"/>
        <sz val="8"/>
        <color rgb="FFFF0000"/>
      </font>
      <fill>
        <patternFill>
          <bgColor rgb="FFFFFFFF"/>
        </patternFill>
      </fill>
    </dxf>
    <dxf>
      <font>
        <b val="0"/>
        <sz val="8"/>
        <color rgb="FFFF0000"/>
      </font>
    </dxf>
    <dxf>
      <font>
        <b val="0"/>
        <sz val="8"/>
        <color rgb="FF000000"/>
      </font>
      <fill>
        <patternFill>
          <bgColor rgb="FFFF0000"/>
        </patternFill>
      </fill>
    </dxf>
    <dxf>
      <font>
        <b val="0"/>
        <sz val="8"/>
        <color rgb="FF000000"/>
      </font>
      <fill>
        <patternFill>
          <bgColor rgb="FFFF0000"/>
        </patternFill>
      </fill>
    </dxf>
    <dxf>
      <font>
        <b val="0"/>
        <sz val="8"/>
        <color rgb="FF000000"/>
      </font>
      <fill>
        <patternFill>
          <bgColor rgb="FFFF0000"/>
        </patternFill>
      </fill>
    </dxf>
    <dxf>
      <font>
        <b val="0"/>
        <sz val="8"/>
        <color rgb="FF000000"/>
      </font>
      <fill>
        <patternFill>
          <bgColor rgb="FFFF0000"/>
        </patternFill>
      </fill>
    </dxf>
    <dxf>
      <font>
        <b val="0"/>
        <sz val="8"/>
        <color rgb="FF000000"/>
      </font>
      <fill>
        <patternFill>
          <bgColor rgb="FFFF0000"/>
        </patternFill>
      </fill>
    </dxf>
    <dxf>
      <font>
        <b val="0"/>
        <sz val="8"/>
        <color rgb="FF339966"/>
      </font>
      <fill>
        <patternFill>
          <bgColor rgb="FFFFFFFF"/>
        </patternFill>
      </fill>
    </dxf>
    <dxf>
      <font>
        <b val="0"/>
        <sz val="8"/>
        <color rgb="FFFF0000"/>
      </font>
      <fill>
        <patternFill>
          <bgColor rgb="FFFFFFFF"/>
        </patternFill>
      </fill>
    </dxf>
    <dxf>
      <font>
        <b val="0"/>
        <sz val="8"/>
        <color rgb="FFFF0000"/>
      </font>
    </dxf>
    <dxf>
      <font>
        <b val="0"/>
        <sz val="8"/>
        <color rgb="FF000000"/>
      </font>
      <fill>
        <patternFill>
          <bgColor rgb="FFFF0000"/>
        </patternFill>
      </fill>
    </dxf>
    <dxf>
      <font>
        <b val="0"/>
        <sz val="8"/>
        <color rgb="FF000000"/>
      </font>
      <fill>
        <patternFill>
          <bgColor rgb="FFFF0000"/>
        </patternFill>
      </fill>
    </dxf>
    <dxf>
      <font>
        <b val="0"/>
        <sz val="8"/>
        <color rgb="FF000000"/>
      </font>
      <fill>
        <patternFill>
          <bgColor rgb="FFFF0000"/>
        </patternFill>
      </fill>
    </dxf>
    <dxf>
      <font>
        <b val="0"/>
        <sz val="8"/>
        <color rgb="FF000000"/>
      </font>
      <fill>
        <patternFill>
          <bgColor rgb="FFFF0000"/>
        </patternFill>
      </fill>
    </dxf>
    <dxf>
      <font>
        <b val="0"/>
        <sz val="8"/>
        <color rgb="FF000000"/>
      </font>
      <fill>
        <patternFill>
          <bgColor rgb="FFFF0000"/>
        </patternFill>
      </fill>
    </dxf>
    <dxf>
      <font>
        <b val="0"/>
        <sz val="8"/>
        <color rgb="FF339966"/>
      </font>
      <fill>
        <patternFill>
          <bgColor rgb="FFFFFFFF"/>
        </patternFill>
      </fill>
    </dxf>
    <dxf>
      <font>
        <b val="0"/>
        <sz val="8"/>
        <color rgb="FFFF0000"/>
      </font>
      <fill>
        <patternFill>
          <bgColor rgb="FFFFFFFF"/>
        </patternFill>
      </fill>
    </dxf>
    <dxf>
      <font>
        <b val="0"/>
        <sz val="8"/>
        <color rgb="FFFF0000"/>
      </font>
    </dxf>
    <dxf>
      <font>
        <b val="0"/>
        <sz val="8"/>
        <color rgb="FF000000"/>
      </font>
      <fill>
        <patternFill>
          <bgColor rgb="FFFF0000"/>
        </patternFill>
      </fill>
    </dxf>
    <dxf>
      <font>
        <b val="0"/>
        <sz val="8"/>
        <color rgb="FF000000"/>
      </font>
      <fill>
        <patternFill>
          <bgColor rgb="FFFF0000"/>
        </patternFill>
      </fill>
    </dxf>
    <dxf>
      <font>
        <b val="0"/>
        <sz val="8"/>
        <color rgb="FF000000"/>
      </font>
      <fill>
        <patternFill>
          <bgColor rgb="FFFF0000"/>
        </patternFill>
      </fill>
    </dxf>
    <dxf>
      <font>
        <b val="0"/>
        <sz val="8"/>
        <color rgb="FF000000"/>
      </font>
      <fill>
        <patternFill>
          <bgColor rgb="FFFF0000"/>
        </patternFill>
      </fill>
    </dxf>
    <dxf>
      <font>
        <b val="0"/>
        <sz val="8"/>
        <color rgb="FF000000"/>
      </font>
      <fill>
        <patternFill>
          <bgColor rgb="FFFF0000"/>
        </patternFill>
      </fill>
    </dxf>
    <dxf>
      <font>
        <b val="0"/>
        <sz val="8"/>
        <color rgb="FF339966"/>
      </font>
      <fill>
        <patternFill>
          <bgColor rgb="FFFFFFFF"/>
        </patternFill>
      </fill>
    </dxf>
    <dxf>
      <font>
        <b val="0"/>
        <sz val="8"/>
        <color rgb="FFFF0000"/>
      </font>
      <fill>
        <patternFill>
          <bgColor rgb="FFFFFFFF"/>
        </patternFill>
      </fill>
    </dxf>
    <dxf>
      <font>
        <b val="0"/>
        <sz val="8"/>
        <color rgb="FFFF0000"/>
      </font>
    </dxf>
    <dxf>
      <font>
        <b val="0"/>
        <sz val="8"/>
        <color rgb="FF000000"/>
      </font>
      <fill>
        <patternFill>
          <bgColor rgb="FFFF0000"/>
        </patternFill>
      </fill>
    </dxf>
    <dxf>
      <font>
        <b val="0"/>
        <sz val="8"/>
        <color rgb="FF000000"/>
      </font>
      <fill>
        <patternFill>
          <bgColor rgb="FFFF0000"/>
        </patternFill>
      </fill>
    </dxf>
    <dxf>
      <font>
        <b val="0"/>
        <sz val="8"/>
        <color rgb="FF000000"/>
      </font>
      <fill>
        <patternFill>
          <bgColor rgb="FFFF0000"/>
        </patternFill>
      </fill>
    </dxf>
    <dxf>
      <font>
        <b val="0"/>
        <sz val="8"/>
        <color rgb="FF000000"/>
      </font>
      <fill>
        <patternFill>
          <bgColor rgb="FFFF0000"/>
        </patternFill>
      </fill>
    </dxf>
    <dxf>
      <font>
        <b val="0"/>
        <sz val="8"/>
        <color rgb="FF000000"/>
      </font>
      <fill>
        <patternFill>
          <bgColor rgb="FFFF0000"/>
        </patternFill>
      </fill>
    </dxf>
    <dxf>
      <font>
        <b val="0"/>
        <sz val="8"/>
        <color rgb="FF339966"/>
      </font>
      <fill>
        <patternFill>
          <bgColor rgb="FFFFFFFF"/>
        </patternFill>
      </fill>
    </dxf>
    <dxf>
      <font>
        <b val="0"/>
        <sz val="8"/>
        <color rgb="FFFF0000"/>
      </font>
      <fill>
        <patternFill>
          <bgColor rgb="FFFFFFFF"/>
        </patternFill>
      </fill>
    </dxf>
    <dxf>
      <font>
        <b val="0"/>
        <sz val="8"/>
        <color rgb="FFFF0000"/>
      </font>
    </dxf>
    <dxf>
      <font>
        <b val="0"/>
        <sz val="8"/>
        <color rgb="FF000000"/>
      </font>
      <fill>
        <patternFill>
          <bgColor rgb="FFFF0000"/>
        </patternFill>
      </fill>
    </dxf>
    <dxf>
      <font>
        <b val="0"/>
        <sz val="8"/>
        <color rgb="FF000000"/>
      </font>
      <fill>
        <patternFill>
          <bgColor rgb="FFFF0000"/>
        </patternFill>
      </fill>
    </dxf>
    <dxf>
      <font>
        <b val="0"/>
        <sz val="8"/>
        <color rgb="FF000000"/>
      </font>
      <fill>
        <patternFill>
          <bgColor rgb="FFFF0000"/>
        </patternFill>
      </fill>
    </dxf>
    <dxf>
      <font>
        <b val="0"/>
        <sz val="8"/>
        <color rgb="FF000000"/>
      </font>
      <fill>
        <patternFill>
          <bgColor rgb="FFFF0000"/>
        </patternFill>
      </fill>
    </dxf>
    <dxf>
      <font>
        <b val="0"/>
        <sz val="8"/>
        <color rgb="FF000000"/>
      </font>
      <fill>
        <patternFill>
          <bgColor rgb="FFFF0000"/>
        </patternFill>
      </fill>
    </dxf>
    <dxf>
      <font>
        <b val="0"/>
        <sz val="8"/>
        <color rgb="FF000000"/>
      </font>
      <fill>
        <patternFill>
          <bgColor rgb="FFFF0000"/>
        </patternFill>
      </fill>
    </dxf>
    <dxf>
      <font>
        <b val="0"/>
        <sz val="8"/>
        <color rgb="FF000000"/>
      </font>
      <fill>
        <patternFill>
          <bgColor rgb="FFFF0000"/>
        </patternFill>
      </fill>
    </dxf>
    <dxf>
      <font>
        <b val="0"/>
        <sz val="8"/>
        <color rgb="FF000000"/>
      </font>
      <fill>
        <patternFill>
          <bgColor rgb="FFFF0000"/>
        </patternFill>
      </fill>
    </dxf>
    <dxf>
      <font>
        <b val="0"/>
        <sz val="8"/>
        <color rgb="FF000000"/>
      </font>
      <fill>
        <patternFill>
          <bgColor rgb="FFFF0000"/>
        </patternFill>
      </fill>
    </dxf>
    <dxf>
      <font>
        <b val="0"/>
        <sz val="8"/>
        <color rgb="FF000000"/>
      </font>
      <fill>
        <patternFill>
          <bgColor rgb="FFFF0000"/>
        </patternFill>
      </fill>
    </dxf>
    <dxf>
      <font>
        <b val="0"/>
        <sz val="8"/>
        <color rgb="FF000000"/>
      </font>
      <fill>
        <patternFill>
          <bgColor rgb="FFFF0000"/>
        </patternFill>
      </fill>
    </dxf>
    <dxf>
      <font>
        <b val="0"/>
        <sz val="8"/>
        <color rgb="FF000000"/>
      </font>
      <fill>
        <patternFill>
          <bgColor rgb="FFFF0000"/>
        </patternFill>
      </fill>
    </dxf>
    <dxf>
      <font>
        <b val="0"/>
        <sz val="8"/>
        <color rgb="FF000000"/>
      </font>
      <fill>
        <patternFill>
          <bgColor rgb="FFFF0000"/>
        </patternFill>
      </fill>
    </dxf>
    <dxf>
      <font>
        <b val="0"/>
        <sz val="8"/>
        <color rgb="FF000000"/>
      </font>
      <fill>
        <patternFill>
          <bgColor rgb="FFFF0000"/>
        </patternFill>
      </fill>
    </dxf>
    <dxf>
      <font>
        <b val="0"/>
        <sz val="8"/>
        <color rgb="FF000000"/>
      </font>
      <fill>
        <patternFill>
          <bgColor rgb="FFFF0000"/>
        </patternFill>
      </fill>
    </dxf>
    <dxf>
      <font>
        <b val="0"/>
        <sz val="8"/>
        <color rgb="FF000000"/>
      </font>
      <fill>
        <patternFill>
          <bgColor rgb="FFFF0000"/>
        </patternFill>
      </fill>
    </dxf>
    <dxf>
      <font>
        <b val="0"/>
        <sz val="8"/>
        <color rgb="FF000000"/>
      </font>
      <fill>
        <patternFill>
          <bgColor rgb="FFFF0000"/>
        </patternFill>
      </fill>
    </dxf>
    <dxf>
      <font>
        <b val="0"/>
        <sz val="8"/>
        <color rgb="FF000000"/>
      </font>
      <fill>
        <patternFill>
          <bgColor rgb="FFFF0000"/>
        </patternFill>
      </fill>
    </dxf>
    <dxf>
      <font>
        <b val="0"/>
        <sz val="8"/>
        <color rgb="FF000000"/>
      </font>
      <fill>
        <patternFill>
          <bgColor rgb="FFFF0000"/>
        </patternFill>
      </fill>
    </dxf>
    <dxf>
      <font>
        <b val="0"/>
        <sz val="8"/>
        <color rgb="FF000000"/>
      </font>
      <fill>
        <patternFill>
          <bgColor rgb="FFFF0000"/>
        </patternFill>
      </fill>
    </dxf>
    <dxf>
      <font>
        <b val="0"/>
        <sz val="8"/>
        <color rgb="FF000000"/>
      </font>
      <fill>
        <patternFill>
          <bgColor rgb="FFFF0000"/>
        </patternFill>
      </fill>
    </dxf>
    <dxf>
      <font>
        <b val="0"/>
        <sz val="8"/>
        <color rgb="FF000000"/>
      </font>
      <fill>
        <patternFill>
          <bgColor rgb="FFFF0000"/>
        </patternFill>
      </fill>
    </dxf>
    <dxf>
      <font>
        <b val="0"/>
        <sz val="8"/>
        <color rgb="FF000000"/>
      </font>
      <fill>
        <patternFill>
          <bgColor rgb="FFFF0000"/>
        </patternFill>
      </fill>
    </dxf>
    <dxf>
      <font>
        <b val="0"/>
        <sz val="8"/>
        <color rgb="FF000000"/>
      </font>
      <fill>
        <patternFill>
          <bgColor rgb="FFFF0000"/>
        </patternFill>
      </fill>
    </dxf>
    <dxf>
      <font>
        <b val="0"/>
        <sz val="8"/>
        <color rgb="FF000000"/>
      </font>
      <fill>
        <patternFill>
          <bgColor rgb="FFFF0000"/>
        </patternFill>
      </fill>
    </dxf>
    <dxf>
      <font>
        <b val="0"/>
        <sz val="8"/>
        <color rgb="FF000000"/>
      </font>
      <fill>
        <patternFill>
          <bgColor rgb="FFFF0000"/>
        </patternFill>
      </fill>
    </dxf>
    <dxf>
      <font>
        <b val="0"/>
        <sz val="8"/>
        <color rgb="FF000000"/>
      </font>
      <fill>
        <patternFill>
          <bgColor rgb="FFFF0000"/>
        </patternFill>
      </fill>
    </dxf>
    <dxf>
      <font>
        <b val="0"/>
        <sz val="8"/>
        <color rgb="FF000000"/>
      </font>
      <fill>
        <patternFill>
          <bgColor rgb="FFFF0000"/>
        </patternFill>
      </fill>
    </dxf>
    <dxf>
      <font>
        <b val="0"/>
        <sz val="8"/>
        <color rgb="FF000000"/>
      </font>
      <fill>
        <patternFill>
          <bgColor rgb="FFFF0000"/>
        </patternFill>
      </fill>
    </dxf>
    <dxf>
      <font>
        <b val="0"/>
        <sz val="8"/>
        <color rgb="FF000000"/>
      </font>
      <fill>
        <patternFill>
          <bgColor rgb="FFFF0000"/>
        </patternFill>
      </fill>
    </dxf>
    <dxf>
      <font>
        <b val="0"/>
        <sz val="8"/>
        <color rgb="FF000000"/>
      </font>
      <fill>
        <patternFill>
          <bgColor rgb="FFFF0000"/>
        </patternFill>
      </fill>
    </dxf>
    <dxf>
      <font>
        <b val="0"/>
        <sz val="8"/>
        <color rgb="FF000000"/>
      </font>
      <fill>
        <patternFill>
          <bgColor rgb="FFFF0000"/>
        </patternFill>
      </fill>
    </dxf>
    <dxf>
      <font>
        <b val="0"/>
        <sz val="8"/>
        <color rgb="FF000000"/>
      </font>
      <fill>
        <patternFill>
          <bgColor rgb="FFFF0000"/>
        </patternFill>
      </fill>
    </dxf>
    <dxf>
      <font>
        <b val="0"/>
        <sz val="8"/>
        <color rgb="FF000000"/>
      </font>
      <fill>
        <patternFill>
          <bgColor rgb="FFFF0000"/>
        </patternFill>
      </fill>
    </dxf>
    <dxf>
      <font>
        <b val="0"/>
        <sz val="8"/>
        <color rgb="FF000000"/>
      </font>
      <fill>
        <patternFill>
          <bgColor rgb="FFFF0000"/>
        </patternFill>
      </fill>
    </dxf>
    <dxf>
      <font>
        <b val="0"/>
        <sz val="8"/>
        <color rgb="FF339966"/>
      </font>
      <fill>
        <patternFill>
          <bgColor rgb="FFFFFFFF"/>
        </patternFill>
      </fill>
    </dxf>
    <dxf>
      <font>
        <b val="0"/>
        <sz val="8"/>
        <color rgb="FF339966"/>
      </font>
      <fill>
        <patternFill>
          <bgColor rgb="FFFFFFFF"/>
        </patternFill>
      </fill>
    </dxf>
    <dxf>
      <font>
        <b val="0"/>
        <sz val="8"/>
        <color rgb="FF339966"/>
      </font>
      <fill>
        <patternFill>
          <bgColor rgb="FFFFFFFF"/>
        </patternFill>
      </fill>
    </dxf>
    <dxf>
      <font>
        <b val="0"/>
        <sz val="8"/>
        <color rgb="FF339966"/>
      </font>
      <fill>
        <patternFill>
          <bgColor rgb="FFFFFFFF"/>
        </patternFill>
      </fill>
    </dxf>
    <dxf>
      <font>
        <b val="0"/>
        <sz val="8"/>
        <color rgb="FF339966"/>
      </font>
      <fill>
        <patternFill>
          <bgColor rgb="FFFFFFFF"/>
        </patternFill>
      </fill>
    </dxf>
    <dxf>
      <font>
        <b val="0"/>
        <sz val="8"/>
        <color rgb="FF339966"/>
      </font>
      <fill>
        <patternFill>
          <bgColor rgb="FFFFFFFF"/>
        </patternFill>
      </fill>
    </dxf>
    <dxf>
      <font>
        <b val="0"/>
        <sz val="8"/>
        <color rgb="FF339966"/>
      </font>
      <fill>
        <patternFill>
          <bgColor rgb="FFFFFFFF"/>
        </patternFill>
      </fill>
    </dxf>
    <dxf>
      <font>
        <b val="0"/>
        <sz val="8"/>
        <color rgb="FFFF0000"/>
      </font>
      <fill>
        <patternFill>
          <bgColor rgb="FFFFFFFF"/>
        </patternFill>
      </fill>
    </dxf>
    <dxf>
      <font>
        <b val="0"/>
        <sz val="8"/>
        <color rgb="FFFF0000"/>
      </font>
      <fill>
        <patternFill>
          <bgColor rgb="FFFFFFFF"/>
        </patternFill>
      </fill>
    </dxf>
    <dxf>
      <font>
        <b val="0"/>
        <sz val="8"/>
        <color rgb="FFFF0000"/>
      </font>
      <fill>
        <patternFill>
          <bgColor rgb="FFFFFFFF"/>
        </patternFill>
      </fill>
    </dxf>
    <dxf>
      <font>
        <b val="0"/>
        <sz val="8"/>
        <color rgb="FFFF0000"/>
      </font>
      <fill>
        <patternFill>
          <bgColor rgb="FFFFFFFF"/>
        </patternFill>
      </fill>
    </dxf>
    <dxf>
      <font>
        <b val="0"/>
        <sz val="8"/>
        <color rgb="FFFF0000"/>
      </font>
      <fill>
        <patternFill>
          <bgColor rgb="FFFFFFFF"/>
        </patternFill>
      </fill>
    </dxf>
    <dxf>
      <font>
        <b val="0"/>
        <sz val="8"/>
        <color rgb="FFFF0000"/>
      </font>
      <fill>
        <patternFill>
          <bgColor rgb="FFFFFFFF"/>
        </patternFill>
      </fill>
    </dxf>
    <dxf>
      <font>
        <b val="0"/>
        <sz val="8"/>
        <color rgb="FFFF0000"/>
      </font>
      <fill>
        <patternFill>
          <bgColor rgb="FFFFFFFF"/>
        </patternFill>
      </fill>
    </dxf>
    <dxf>
      <font>
        <b val="0"/>
        <sz val="8"/>
        <color rgb="FFFF0000"/>
      </font>
    </dxf>
    <dxf>
      <font>
        <b val="0"/>
        <sz val="8"/>
        <color rgb="FFFF0000"/>
      </font>
    </dxf>
    <dxf>
      <font>
        <b val="0"/>
        <sz val="8"/>
        <color rgb="FFFF0000"/>
      </font>
    </dxf>
    <dxf>
      <font>
        <b val="0"/>
        <sz val="8"/>
        <color rgb="FFFF0000"/>
      </font>
    </dxf>
    <dxf>
      <font>
        <b val="0"/>
        <sz val="8"/>
        <color rgb="FFFF0000"/>
      </font>
    </dxf>
    <dxf>
      <font>
        <b val="0"/>
        <sz val="8"/>
        <color rgb="FFFF0000"/>
      </font>
    </dxf>
    <dxf>
      <font>
        <b val="0"/>
        <sz val="8"/>
        <color rgb="FFFF0000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CC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3333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FELIPE~1.HOF\AppData\Local\Temp\Formul&#225;rio%20de%20Bovinos%20-%20NR%20Ivaipor&#227;%202019.od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vinos"/>
      <sheetName val="TODOS OS PRODUTOS"/>
      <sheetName val="Leite - Produção"/>
      <sheetName val="Leite - Captação"/>
      <sheetName val="OBSERVAÇÃO"/>
    </sheetNames>
    <sheetDataSet>
      <sheetData sheetId="0">
        <row r="4">
          <cell r="AD4">
            <v>0.11236766593132499</v>
          </cell>
        </row>
        <row r="5">
          <cell r="AD5">
            <v>0.44947066372529998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31"/>
  <sheetViews>
    <sheetView showGridLines="0" tabSelected="1" zoomScaleNormal="100" workbookViewId="0"/>
  </sheetViews>
  <sheetFormatPr defaultColWidth="9.1640625" defaultRowHeight="11.25"/>
  <cols>
    <col min="1" max="1" width="23.5" style="1" customWidth="1"/>
    <col min="2" max="7" width="10.6640625" style="1" customWidth="1"/>
    <col min="8" max="8" width="11.5" style="1" customWidth="1"/>
    <col min="9" max="9" width="2.6640625" style="1" customWidth="1"/>
    <col min="10" max="10" width="22.33203125" style="1" customWidth="1"/>
    <col min="11" max="16" width="10.6640625" style="1" customWidth="1"/>
    <col min="18" max="18" width="13.6640625" style="1" hidden="1" customWidth="1"/>
    <col min="19" max="19" width="12.33203125" style="1" hidden="1" customWidth="1"/>
    <col min="20" max="25" width="0" style="2" hidden="1" customWidth="1"/>
    <col min="26" max="26" width="0" hidden="1" customWidth="1"/>
    <col min="27" max="32" width="0" style="1" hidden="1" customWidth="1"/>
  </cols>
  <sheetData>
    <row r="1" spans="1:32" ht="12.75" customHeight="1">
      <c r="A1" s="3" t="s">
        <v>0</v>
      </c>
      <c r="B1" s="3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5"/>
      <c r="AA1" s="6" t="s">
        <v>1</v>
      </c>
    </row>
    <row r="2" spans="1:32" ht="12.75" customHeight="1">
      <c r="A2" s="3" t="s">
        <v>2</v>
      </c>
      <c r="B2" s="3"/>
      <c r="C2" s="3"/>
      <c r="D2" s="3"/>
      <c r="E2" s="3"/>
      <c r="F2" s="3"/>
      <c r="G2" s="3"/>
      <c r="H2" s="7"/>
      <c r="I2" s="4"/>
      <c r="J2" s="4"/>
      <c r="K2" s="4"/>
      <c r="L2" s="4"/>
      <c r="M2" s="4"/>
      <c r="N2" s="4"/>
      <c r="O2" s="4"/>
      <c r="P2" s="4"/>
      <c r="Q2" s="8"/>
    </row>
    <row r="3" spans="1:32" ht="12.75" customHeight="1">
      <c r="A3" s="3" t="s">
        <v>3</v>
      </c>
      <c r="B3" s="3"/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T3" s="1"/>
      <c r="U3" s="1"/>
      <c r="V3" s="1"/>
      <c r="W3" s="1"/>
      <c r="X3" s="1"/>
      <c r="Y3" s="1"/>
      <c r="AA3" s="9" t="s">
        <v>4</v>
      </c>
      <c r="AB3" s="9" t="s">
        <v>5</v>
      </c>
      <c r="AC3" s="9" t="s">
        <v>6</v>
      </c>
      <c r="AD3" s="9" t="s">
        <v>7</v>
      </c>
      <c r="AE3" s="9" t="s">
        <v>8</v>
      </c>
      <c r="AF3" s="9" t="s">
        <v>9</v>
      </c>
    </row>
    <row r="4" spans="1:32" ht="6" customHeight="1">
      <c r="A4" s="10"/>
      <c r="B4" s="10"/>
      <c r="C4" s="10"/>
      <c r="D4" s="10"/>
      <c r="E4" s="10"/>
      <c r="F4" s="10"/>
      <c r="G4" s="10"/>
      <c r="H4" s="4"/>
      <c r="I4" s="4"/>
      <c r="J4" s="4"/>
      <c r="K4" s="4"/>
      <c r="L4" s="4"/>
      <c r="M4" s="4"/>
      <c r="N4" s="4"/>
      <c r="O4" s="4"/>
      <c r="P4" s="4"/>
      <c r="T4" s="1"/>
      <c r="U4" s="1"/>
      <c r="V4" s="1"/>
      <c r="W4" s="1"/>
      <c r="X4" s="1"/>
      <c r="Y4" s="1"/>
      <c r="AA4" s="11">
        <v>5.4571443861038703E-2</v>
      </c>
      <c r="AB4" s="11">
        <v>6.9802942407916402E-2</v>
      </c>
      <c r="AC4" s="11">
        <v>1.7939864633768999E-2</v>
      </c>
      <c r="AD4" s="11">
        <v>0.11236766593132499</v>
      </c>
      <c r="AE4" s="12">
        <v>3.5556964120727601</v>
      </c>
      <c r="AF4" s="13">
        <v>15.867890282748601</v>
      </c>
    </row>
    <row r="5" spans="1:32" ht="20.25" customHeight="1">
      <c r="A5" s="14" t="s">
        <v>923</v>
      </c>
      <c r="B5" s="15"/>
      <c r="C5" s="15"/>
      <c r="D5" s="15"/>
      <c r="E5" s="15"/>
      <c r="F5" s="15"/>
      <c r="G5" s="15"/>
      <c r="H5" s="4"/>
      <c r="I5" s="4"/>
      <c r="J5" s="4"/>
      <c r="K5" s="4"/>
      <c r="L5" s="4"/>
      <c r="M5" s="4"/>
      <c r="N5" s="4"/>
      <c r="O5" s="4"/>
      <c r="P5" s="4"/>
      <c r="R5" s="16" t="s">
        <v>10</v>
      </c>
      <c r="S5" s="17" t="s">
        <v>11</v>
      </c>
      <c r="AA5" s="11">
        <v>0.21828577544415501</v>
      </c>
      <c r="AB5" s="11">
        <v>0.279211769631666</v>
      </c>
      <c r="AC5" s="11">
        <v>7.1759458535075898E-2</v>
      </c>
      <c r="AD5" s="11">
        <v>0.44947066372529998</v>
      </c>
      <c r="AE5" s="12">
        <v>0.25864183526254297</v>
      </c>
      <c r="AF5" s="13">
        <v>2.12459016393443</v>
      </c>
    </row>
    <row r="6" spans="1:32" ht="16.5" customHeight="1">
      <c r="A6" s="18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R6" s="19" t="s">
        <v>12</v>
      </c>
      <c r="S6" s="19" t="s">
        <v>13</v>
      </c>
      <c r="T6" s="19" t="s">
        <v>14</v>
      </c>
      <c r="U6" s="19" t="s">
        <v>15</v>
      </c>
      <c r="V6" s="19" t="s">
        <v>16</v>
      </c>
      <c r="W6" s="19" t="s">
        <v>17</v>
      </c>
      <c r="X6" s="19" t="s">
        <v>7</v>
      </c>
      <c r="Y6" s="19" t="s">
        <v>18</v>
      </c>
      <c r="AA6" s="11">
        <f>AA5/2</f>
        <v>0.1091428877220775</v>
      </c>
      <c r="AB6" s="11">
        <f>AB5/2</f>
        <v>0.139605884815833</v>
      </c>
      <c r="AC6" s="11">
        <f>AC5/2</f>
        <v>3.5879729267537949E-2</v>
      </c>
      <c r="AD6" s="11">
        <f>AD5/2</f>
        <v>0.22473533186264999</v>
      </c>
    </row>
    <row r="7" spans="1:32" ht="16.5" customHeight="1">
      <c r="A7" s="20" t="s">
        <v>19</v>
      </c>
      <c r="B7" s="20" t="s">
        <v>20</v>
      </c>
      <c r="C7" s="21" t="s">
        <v>21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R7" s="22" t="str">
        <f t="shared" ref="R7:R70" si="0">+$S$5</f>
        <v>20/21</v>
      </c>
      <c r="S7" s="4" t="str">
        <f>+B7</f>
        <v>'0165</v>
      </c>
      <c r="T7" s="23">
        <v>7014</v>
      </c>
      <c r="U7" s="23"/>
      <c r="V7" s="24">
        <f>J11</f>
        <v>0</v>
      </c>
      <c r="W7" s="24"/>
      <c r="X7" s="24"/>
      <c r="Y7" s="25" t="s">
        <v>22</v>
      </c>
    </row>
    <row r="8" spans="1:32" ht="6" customHeight="1">
      <c r="A8" s="26"/>
      <c r="B8" s="27"/>
      <c r="C8" s="28"/>
      <c r="D8" s="28"/>
      <c r="E8" s="28"/>
      <c r="F8" s="28"/>
      <c r="G8" s="4"/>
      <c r="H8" s="4"/>
      <c r="I8" s="29"/>
      <c r="J8" s="4"/>
      <c r="K8" s="4"/>
      <c r="L8" s="30"/>
      <c r="M8" s="31"/>
      <c r="N8" s="31"/>
      <c r="O8" s="4"/>
      <c r="P8" s="4"/>
      <c r="R8" s="22" t="str">
        <f t="shared" si="0"/>
        <v>20/21</v>
      </c>
      <c r="S8" s="4" t="str">
        <f t="shared" ref="S8:S21" si="1">+S7</f>
        <v>'0165</v>
      </c>
      <c r="T8" s="24"/>
      <c r="U8" s="24"/>
      <c r="V8" s="32">
        <f>M11</f>
        <v>0</v>
      </c>
      <c r="W8" s="24"/>
      <c r="X8" s="24"/>
      <c r="Y8" s="24" t="s">
        <v>23</v>
      </c>
      <c r="AA8" s="33" t="s">
        <v>24</v>
      </c>
      <c r="AB8" s="34">
        <v>10</v>
      </c>
      <c r="AC8" s="33" t="s">
        <v>25</v>
      </c>
      <c r="AD8" s="35">
        <v>3.65</v>
      </c>
      <c r="AE8" s="33" t="s">
        <v>26</v>
      </c>
    </row>
    <row r="9" spans="1:32" ht="11.25" customHeight="1">
      <c r="A9" s="36"/>
      <c r="B9" s="200" t="s">
        <v>27</v>
      </c>
      <c r="C9" s="205" t="s">
        <v>28</v>
      </c>
      <c r="D9" s="205"/>
      <c r="E9" s="205" t="s">
        <v>29</v>
      </c>
      <c r="F9" s="205"/>
      <c r="G9" s="36"/>
      <c r="H9" s="205" t="s">
        <v>30</v>
      </c>
      <c r="I9" s="4"/>
      <c r="J9" s="206" t="s">
        <v>31</v>
      </c>
      <c r="K9" s="207"/>
      <c r="L9" s="202"/>
      <c r="M9" s="208"/>
      <c r="N9" s="38"/>
      <c r="O9" s="4"/>
      <c r="P9" s="206" t="s">
        <v>32</v>
      </c>
      <c r="R9" s="22" t="str">
        <f t="shared" si="0"/>
        <v>20/21</v>
      </c>
      <c r="S9" s="4" t="str">
        <f t="shared" si="1"/>
        <v>'0165</v>
      </c>
      <c r="T9" s="23" t="s">
        <v>33</v>
      </c>
      <c r="U9" s="23"/>
      <c r="V9" s="23">
        <f>+B11</f>
        <v>15132</v>
      </c>
      <c r="W9" s="39">
        <f>+H17</f>
        <v>0</v>
      </c>
      <c r="X9" s="23">
        <f>B17+C17</f>
        <v>0</v>
      </c>
      <c r="Y9" s="25" t="s">
        <v>34</v>
      </c>
      <c r="AA9" s="33" t="s">
        <v>35</v>
      </c>
      <c r="AB9" s="34">
        <v>2.5</v>
      </c>
      <c r="AC9" s="33" t="s">
        <v>25</v>
      </c>
      <c r="AD9" s="35">
        <v>0.91249999999999998</v>
      </c>
      <c r="AE9" s="33" t="s">
        <v>26</v>
      </c>
    </row>
    <row r="10" spans="1:32" ht="12" customHeight="1">
      <c r="A10" s="36"/>
      <c r="B10" s="200"/>
      <c r="C10" s="40" t="s">
        <v>36</v>
      </c>
      <c r="D10" s="40" t="s">
        <v>37</v>
      </c>
      <c r="E10" s="40" t="s">
        <v>36</v>
      </c>
      <c r="F10" s="40" t="s">
        <v>37</v>
      </c>
      <c r="G10" s="36"/>
      <c r="H10" s="205"/>
      <c r="I10" s="4"/>
      <c r="J10" s="206"/>
      <c r="K10" s="207"/>
      <c r="L10" s="202"/>
      <c r="M10" s="208"/>
      <c r="N10" s="38"/>
      <c r="O10" s="4"/>
      <c r="P10" s="206"/>
      <c r="R10" s="22" t="str">
        <f t="shared" si="0"/>
        <v>20/21</v>
      </c>
      <c r="S10" s="4" t="str">
        <f t="shared" si="1"/>
        <v>'0165</v>
      </c>
      <c r="T10" s="23" t="s">
        <v>38</v>
      </c>
      <c r="U10" s="23"/>
      <c r="V10" s="41"/>
      <c r="W10" s="39">
        <f>H18</f>
        <v>0</v>
      </c>
      <c r="X10" s="23">
        <f>B18+C18</f>
        <v>0</v>
      </c>
      <c r="Y10" s="25" t="s">
        <v>39</v>
      </c>
    </row>
    <row r="11" spans="1:32" ht="16.5" customHeight="1">
      <c r="A11" s="200" t="s">
        <v>40</v>
      </c>
      <c r="B11" s="201">
        <v>15132</v>
      </c>
      <c r="C11" s="42"/>
      <c r="D11" s="42"/>
      <c r="E11" s="42"/>
      <c r="F11" s="42"/>
      <c r="G11" s="43" t="str">
        <f>IF(SUM(C12:F12)=0,"",IF(SUM(C11:F11)&lt;1,"&lt;100%",IF(SUM(C11:F11)&gt;1,"&gt;100%","OK")))</f>
        <v/>
      </c>
      <c r="H11" s="44"/>
      <c r="I11" s="4"/>
      <c r="J11" s="45">
        <f>'Leite - Produção'!S10</f>
        <v>0</v>
      </c>
      <c r="K11" s="46"/>
      <c r="L11" s="202"/>
      <c r="M11" s="47"/>
      <c r="N11" s="31"/>
      <c r="O11" s="4"/>
      <c r="P11" s="48" t="e">
        <f>SUM(F12+D12)/H11</f>
        <v>#DIV/0!</v>
      </c>
      <c r="R11" s="22" t="str">
        <f t="shared" si="0"/>
        <v>20/21</v>
      </c>
      <c r="S11" s="4" t="str">
        <f t="shared" si="1"/>
        <v>'0165</v>
      </c>
      <c r="T11" s="49">
        <v>7590</v>
      </c>
      <c r="U11" s="49"/>
      <c r="V11" s="41"/>
      <c r="W11" s="50">
        <f>+G17</f>
        <v>0</v>
      </c>
      <c r="X11" s="23">
        <f>D17</f>
        <v>0</v>
      </c>
      <c r="Y11" s="51" t="s">
        <v>41</v>
      </c>
    </row>
    <row r="12" spans="1:32" ht="13.35" customHeight="1">
      <c r="A12" s="200"/>
      <c r="B12" s="201"/>
      <c r="C12" s="52">
        <f>+C11*B11</f>
        <v>0</v>
      </c>
      <c r="D12" s="52">
        <f>+D11*B11</f>
        <v>0</v>
      </c>
      <c r="E12" s="52">
        <f>+E11*B11</f>
        <v>0</v>
      </c>
      <c r="F12" s="52">
        <f>+F11*B11</f>
        <v>0</v>
      </c>
      <c r="G12" s="36"/>
      <c r="H12" s="36"/>
      <c r="I12" s="4"/>
      <c r="J12" s="36"/>
      <c r="K12" s="53"/>
      <c r="L12" s="202"/>
      <c r="M12" s="31"/>
      <c r="N12" s="31"/>
      <c r="O12" s="54"/>
      <c r="P12" s="36"/>
      <c r="R12" s="22" t="str">
        <f t="shared" si="0"/>
        <v>20/21</v>
      </c>
      <c r="S12" s="4" t="str">
        <f t="shared" si="1"/>
        <v>'0165</v>
      </c>
      <c r="T12" s="23" t="s">
        <v>42</v>
      </c>
      <c r="U12" s="23"/>
      <c r="V12" s="41"/>
      <c r="W12" s="41"/>
      <c r="X12" s="23">
        <f>K17</f>
        <v>0</v>
      </c>
      <c r="Y12" s="25" t="s">
        <v>43</v>
      </c>
    </row>
    <row r="13" spans="1:32" ht="4.5" customHeight="1">
      <c r="A13" s="55"/>
      <c r="B13" s="56"/>
      <c r="C13" s="57"/>
      <c r="D13" s="57"/>
      <c r="E13" s="57"/>
      <c r="F13" s="57"/>
      <c r="G13" s="57"/>
      <c r="H13" s="36"/>
      <c r="I13" s="29"/>
      <c r="J13" s="36"/>
      <c r="K13" s="36"/>
      <c r="L13" s="58"/>
      <c r="M13" s="59"/>
      <c r="N13" s="59"/>
      <c r="O13" s="36"/>
      <c r="P13" s="36"/>
      <c r="R13" s="22" t="str">
        <f t="shared" si="0"/>
        <v>20/21</v>
      </c>
      <c r="S13" s="4" t="str">
        <f t="shared" si="1"/>
        <v>'0165</v>
      </c>
      <c r="T13" s="23" t="s">
        <v>44</v>
      </c>
      <c r="U13" s="23"/>
      <c r="V13" s="41"/>
      <c r="W13" s="41"/>
      <c r="X13" s="23">
        <f>K18</f>
        <v>0</v>
      </c>
      <c r="Y13" s="25" t="s">
        <v>45</v>
      </c>
    </row>
    <row r="14" spans="1:32" ht="16.5" customHeight="1">
      <c r="A14" s="203" t="s">
        <v>46</v>
      </c>
      <c r="B14" s="204" t="s">
        <v>47</v>
      </c>
      <c r="C14" s="204"/>
      <c r="D14" s="204"/>
      <c r="E14" s="204" t="s">
        <v>48</v>
      </c>
      <c r="F14" s="204"/>
      <c r="G14" s="204"/>
      <c r="H14" s="205" t="s">
        <v>49</v>
      </c>
      <c r="I14" s="4"/>
      <c r="J14" s="203" t="s">
        <v>46</v>
      </c>
      <c r="K14" s="204" t="s">
        <v>50</v>
      </c>
      <c r="L14" s="204"/>
      <c r="M14" s="204"/>
      <c r="N14" s="200" t="s">
        <v>51</v>
      </c>
      <c r="O14" s="200"/>
      <c r="P14" s="200"/>
      <c r="R14" s="22" t="str">
        <f t="shared" si="0"/>
        <v>20/21</v>
      </c>
      <c r="S14" s="4" t="str">
        <f t="shared" si="1"/>
        <v>'0165</v>
      </c>
      <c r="T14" s="23" t="s">
        <v>52</v>
      </c>
      <c r="U14" s="23"/>
      <c r="V14" s="41"/>
      <c r="W14" s="41"/>
      <c r="X14" s="23">
        <f>L17</f>
        <v>0</v>
      </c>
      <c r="Y14" s="25" t="s">
        <v>53</v>
      </c>
    </row>
    <row r="15" spans="1:32" ht="16.5" customHeight="1">
      <c r="A15" s="203"/>
      <c r="B15" s="198" t="s">
        <v>54</v>
      </c>
      <c r="C15" s="198" t="s">
        <v>55</v>
      </c>
      <c r="D15" s="198" t="s">
        <v>56</v>
      </c>
      <c r="E15" s="198" t="s">
        <v>54</v>
      </c>
      <c r="F15" s="198" t="s">
        <v>55</v>
      </c>
      <c r="G15" s="198" t="s">
        <v>56</v>
      </c>
      <c r="H15" s="205"/>
      <c r="I15" s="4"/>
      <c r="J15" s="203"/>
      <c r="K15" s="199" t="s">
        <v>57</v>
      </c>
      <c r="L15" s="199" t="s">
        <v>58</v>
      </c>
      <c r="M15" s="199" t="s">
        <v>59</v>
      </c>
      <c r="N15" s="200"/>
      <c r="O15" s="200"/>
      <c r="P15" s="200"/>
      <c r="R15" s="22" t="str">
        <f t="shared" si="0"/>
        <v>20/21</v>
      </c>
      <c r="S15" s="4" t="str">
        <f t="shared" si="1"/>
        <v>'0165</v>
      </c>
      <c r="T15" s="23" t="s">
        <v>60</v>
      </c>
      <c r="U15" s="23"/>
      <c r="V15" s="24"/>
      <c r="W15" s="24"/>
      <c r="X15" s="23">
        <f>+L18</f>
        <v>0</v>
      </c>
      <c r="Y15" s="25" t="s">
        <v>61</v>
      </c>
    </row>
    <row r="16" spans="1:32" ht="13.15" customHeight="1">
      <c r="A16" s="203"/>
      <c r="B16" s="198"/>
      <c r="C16" s="198"/>
      <c r="D16" s="198"/>
      <c r="E16" s="198"/>
      <c r="F16" s="198"/>
      <c r="G16" s="198"/>
      <c r="H16" s="205"/>
      <c r="I16" s="4"/>
      <c r="J16" s="203"/>
      <c r="K16" s="199"/>
      <c r="L16" s="199"/>
      <c r="M16" s="199"/>
      <c r="N16" s="60" t="s">
        <v>62</v>
      </c>
      <c r="O16" s="60" t="s">
        <v>63</v>
      </c>
      <c r="P16" s="60" t="s">
        <v>64</v>
      </c>
      <c r="R16" s="22" t="str">
        <f t="shared" si="0"/>
        <v>20/21</v>
      </c>
      <c r="S16" s="4" t="str">
        <f t="shared" si="1"/>
        <v>'0165</v>
      </c>
      <c r="T16" s="23" t="s">
        <v>65</v>
      </c>
      <c r="U16" s="23"/>
      <c r="V16" s="24"/>
      <c r="W16" s="24"/>
      <c r="X16" s="23">
        <f>+M18</f>
        <v>0</v>
      </c>
      <c r="Y16" s="25" t="s">
        <v>66</v>
      </c>
    </row>
    <row r="17" spans="1:35" ht="16.5" customHeight="1">
      <c r="A17" s="60" t="s">
        <v>67</v>
      </c>
      <c r="B17" s="61"/>
      <c r="C17" s="61"/>
      <c r="D17" s="61"/>
      <c r="E17" s="61"/>
      <c r="F17" s="61"/>
      <c r="G17" s="61"/>
      <c r="H17" s="62"/>
      <c r="I17" s="4"/>
      <c r="J17" s="60" t="s">
        <v>67</v>
      </c>
      <c r="K17" s="61"/>
      <c r="L17" s="61"/>
      <c r="M17" s="61"/>
      <c r="N17" s="61"/>
      <c r="O17" s="61"/>
      <c r="P17" s="61"/>
      <c r="R17" s="22" t="str">
        <f t="shared" si="0"/>
        <v>20/21</v>
      </c>
      <c r="S17" s="4" t="str">
        <f t="shared" si="1"/>
        <v>'0165</v>
      </c>
      <c r="T17" s="49">
        <v>7006</v>
      </c>
      <c r="U17" s="49"/>
      <c r="V17" s="24"/>
      <c r="W17" s="24"/>
      <c r="X17" s="23">
        <f>N17</f>
        <v>0</v>
      </c>
      <c r="Y17" s="51" t="s">
        <v>68</v>
      </c>
      <c r="AI17" s="63"/>
    </row>
    <row r="18" spans="1:35" ht="16.5" customHeight="1">
      <c r="A18" s="60" t="s">
        <v>69</v>
      </c>
      <c r="B18" s="61"/>
      <c r="C18" s="61"/>
      <c r="D18" s="36"/>
      <c r="E18" s="61"/>
      <c r="F18" s="61"/>
      <c r="G18" s="64"/>
      <c r="H18" s="62"/>
      <c r="I18" s="4"/>
      <c r="J18" s="60" t="s">
        <v>69</v>
      </c>
      <c r="K18" s="61"/>
      <c r="L18" s="61"/>
      <c r="M18" s="65"/>
      <c r="N18" s="66"/>
      <c r="O18" s="66"/>
      <c r="P18" s="66"/>
      <c r="R18" s="22" t="str">
        <f t="shared" si="0"/>
        <v>20/21</v>
      </c>
      <c r="S18" s="4" t="str">
        <f t="shared" si="1"/>
        <v>'0165</v>
      </c>
      <c r="T18" s="49">
        <v>7007</v>
      </c>
      <c r="U18" s="49"/>
      <c r="V18" s="24"/>
      <c r="W18" s="24"/>
      <c r="X18" s="23">
        <f>O17</f>
        <v>0</v>
      </c>
      <c r="Y18" s="51" t="s">
        <v>70</v>
      </c>
      <c r="AH18" s="63"/>
    </row>
    <row r="19" spans="1:35" ht="18" customHeight="1">
      <c r="A19" s="37" t="s">
        <v>71</v>
      </c>
      <c r="B19" s="67">
        <f>IF(B11="","",(B18+B17)/B11)</f>
        <v>0</v>
      </c>
      <c r="C19" s="67">
        <f>IF(B11="","",(C18+C17)/B11)</f>
        <v>0</v>
      </c>
      <c r="D19" s="67">
        <f>IF(B11="","",(D18+D17)/B11)</f>
        <v>0</v>
      </c>
      <c r="E19" s="195" t="str">
        <f>IF(B11="","",IF(B19+C19+D19&gt;Bovinos!$AD$5," -&gt; índices (somados) acima da média",IF(B19+C19+D19&lt;Bovinos!$AD$4," -&gt; índices (somados) abaixo da média","")))</f>
        <v xml:space="preserve"> -&gt; índices (somados) abaixo da média</v>
      </c>
      <c r="F19" s="195"/>
      <c r="G19" s="195"/>
      <c r="H19" s="195"/>
      <c r="I19" s="4"/>
      <c r="J19" s="37" t="s">
        <v>71</v>
      </c>
      <c r="K19" s="68">
        <f>IF(B11="","-",(K18+K17)/B11)</f>
        <v>0</v>
      </c>
      <c r="L19" s="68">
        <f>IF(B11="","-",(L18+L17)/B11)</f>
        <v>0</v>
      </c>
      <c r="M19" s="68">
        <f>IF(B11="","-",(M18+M17+O17+N17+P17)/B11)</f>
        <v>0</v>
      </c>
      <c r="N19" s="195" t="str">
        <f>IF(AND(K19="-",L19="-",M19="-"),"",IF(K19&gt;Bovinos!$AA$5," -&gt; índice(s) fora da faixa média",IF(K19&lt;Bovinos!$AA$4," -&gt; índice(s) fora da faixa média",IF(L19&gt;Bovinos!$AB$5," -&gt; índice(s) fora da faixa média",IF(L19&lt;Bovinos!$AB$4," -&gt; índice(s) fora da faixa média",IF(M19&gt;Bovinos!$AC$5," -&gt; índice(s) fora da faixa média",IF(M19&lt;Bovinos!$AC$4," -&gt; índice(s) fora da faixa média","")))))))</f>
        <v xml:space="preserve"> -&gt; índice(s) fora da faixa média</v>
      </c>
      <c r="O19" s="195"/>
      <c r="P19" s="195"/>
      <c r="R19" s="22" t="str">
        <f t="shared" si="0"/>
        <v>20/21</v>
      </c>
      <c r="S19" s="4" t="str">
        <f t="shared" si="1"/>
        <v>'0165</v>
      </c>
      <c r="T19" s="49">
        <v>7008</v>
      </c>
      <c r="U19" s="49"/>
      <c r="V19" s="24"/>
      <c r="W19" s="24"/>
      <c r="X19" s="23">
        <f>P17</f>
        <v>0</v>
      </c>
      <c r="Y19" s="51" t="s">
        <v>72</v>
      </c>
    </row>
    <row r="20" spans="1:35" ht="7.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R20" s="22" t="str">
        <f t="shared" si="0"/>
        <v>20/21</v>
      </c>
      <c r="S20" s="4" t="str">
        <f t="shared" si="1"/>
        <v>'0165</v>
      </c>
      <c r="T20" s="23" t="s">
        <v>73</v>
      </c>
      <c r="U20" s="23"/>
      <c r="V20" s="24"/>
      <c r="W20" s="24"/>
      <c r="X20" s="23">
        <f>+M17</f>
        <v>0</v>
      </c>
      <c r="Y20" s="25" t="s">
        <v>74</v>
      </c>
    </row>
    <row r="21" spans="1:35" ht="7.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R21" s="22" t="str">
        <f t="shared" si="0"/>
        <v>20/21</v>
      </c>
      <c r="S21" s="4" t="str">
        <f t="shared" si="1"/>
        <v>'0165</v>
      </c>
      <c r="T21" s="23" t="s">
        <v>75</v>
      </c>
      <c r="U21" s="23">
        <f>+H11</f>
        <v>0</v>
      </c>
      <c r="V21" s="24"/>
      <c r="W21" s="24"/>
      <c r="X21" s="23"/>
      <c r="Y21" s="25" t="s">
        <v>76</v>
      </c>
    </row>
    <row r="22" spans="1:35" ht="16.5" customHeight="1">
      <c r="A22" s="20" t="s">
        <v>19</v>
      </c>
      <c r="B22" s="20" t="s">
        <v>77</v>
      </c>
      <c r="C22" s="21" t="s">
        <v>78</v>
      </c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R22" s="22" t="str">
        <f t="shared" si="0"/>
        <v>20/21</v>
      </c>
      <c r="S22" s="69" t="str">
        <f>+B22</f>
        <v>'0185</v>
      </c>
      <c r="T22" s="23">
        <v>7014</v>
      </c>
      <c r="U22" s="23"/>
      <c r="V22" s="24">
        <f>J26</f>
        <v>0</v>
      </c>
      <c r="W22" s="24"/>
      <c r="X22" s="24"/>
      <c r="Y22" s="70" t="s">
        <v>22</v>
      </c>
    </row>
    <row r="23" spans="1:35" ht="6" customHeight="1">
      <c r="A23" s="26"/>
      <c r="B23" s="27"/>
      <c r="C23" s="28"/>
      <c r="D23" s="28"/>
      <c r="E23" s="28"/>
      <c r="F23" s="28"/>
      <c r="G23" s="4"/>
      <c r="H23" s="4"/>
      <c r="I23" s="29"/>
      <c r="J23" s="4"/>
      <c r="K23" s="4"/>
      <c r="L23" s="71"/>
      <c r="M23" s="4"/>
      <c r="N23" s="4"/>
      <c r="O23" s="4"/>
      <c r="P23" s="4"/>
      <c r="R23" s="22" t="str">
        <f t="shared" si="0"/>
        <v>20/21</v>
      </c>
      <c r="S23" s="69" t="str">
        <f t="shared" ref="S23:S36" si="2">+S22</f>
        <v>'0185</v>
      </c>
      <c r="T23" s="24"/>
      <c r="U23" s="24"/>
      <c r="V23" s="32">
        <f>M26</f>
        <v>0</v>
      </c>
      <c r="W23" s="24"/>
      <c r="X23" s="24"/>
      <c r="Y23" s="72" t="s">
        <v>23</v>
      </c>
    </row>
    <row r="24" spans="1:35" ht="11.25" customHeight="1">
      <c r="A24" s="36"/>
      <c r="B24" s="200" t="s">
        <v>27</v>
      </c>
      <c r="C24" s="205" t="s">
        <v>28</v>
      </c>
      <c r="D24" s="205"/>
      <c r="E24" s="205" t="s">
        <v>29</v>
      </c>
      <c r="F24" s="205"/>
      <c r="G24" s="36"/>
      <c r="H24" s="205" t="s">
        <v>30</v>
      </c>
      <c r="I24" s="4"/>
      <c r="J24" s="206" t="s">
        <v>31</v>
      </c>
      <c r="K24" s="207"/>
      <c r="L24" s="202"/>
      <c r="M24" s="208"/>
      <c r="N24" s="38"/>
      <c r="O24" s="4"/>
      <c r="P24" s="206" t="s">
        <v>32</v>
      </c>
      <c r="R24" s="22" t="str">
        <f t="shared" si="0"/>
        <v>20/21</v>
      </c>
      <c r="S24" s="69" t="str">
        <f t="shared" si="2"/>
        <v>'0185</v>
      </c>
      <c r="T24" s="23" t="s">
        <v>33</v>
      </c>
      <c r="U24" s="23"/>
      <c r="V24" s="23">
        <f>+B26</f>
        <v>8166</v>
      </c>
      <c r="W24" s="39">
        <f>+H32</f>
        <v>0</v>
      </c>
      <c r="X24" s="23">
        <f>B32+C32</f>
        <v>0</v>
      </c>
      <c r="Y24" s="70" t="s">
        <v>34</v>
      </c>
    </row>
    <row r="25" spans="1:35" ht="12" customHeight="1">
      <c r="A25" s="36"/>
      <c r="B25" s="200"/>
      <c r="C25" s="40" t="s">
        <v>36</v>
      </c>
      <c r="D25" s="40" t="s">
        <v>37</v>
      </c>
      <c r="E25" s="40" t="s">
        <v>36</v>
      </c>
      <c r="F25" s="40" t="s">
        <v>37</v>
      </c>
      <c r="G25" s="36"/>
      <c r="H25" s="205"/>
      <c r="I25" s="4"/>
      <c r="J25" s="206"/>
      <c r="K25" s="207"/>
      <c r="L25" s="202"/>
      <c r="M25" s="208"/>
      <c r="N25" s="38"/>
      <c r="O25" s="4"/>
      <c r="P25" s="206"/>
      <c r="R25" s="22" t="str">
        <f t="shared" si="0"/>
        <v>20/21</v>
      </c>
      <c r="S25" s="69" t="str">
        <f t="shared" si="2"/>
        <v>'0185</v>
      </c>
      <c r="T25" s="23" t="s">
        <v>38</v>
      </c>
      <c r="U25" s="23"/>
      <c r="V25" s="73"/>
      <c r="W25" s="39">
        <f>H33</f>
        <v>0</v>
      </c>
      <c r="X25" s="23">
        <f>B33+C33</f>
        <v>0</v>
      </c>
      <c r="Y25" s="70" t="s">
        <v>39</v>
      </c>
    </row>
    <row r="26" spans="1:35" ht="15.6" customHeight="1">
      <c r="A26" s="200" t="s">
        <v>40</v>
      </c>
      <c r="B26" s="201">
        <v>8166</v>
      </c>
      <c r="C26" s="42"/>
      <c r="D26" s="42"/>
      <c r="E26" s="42"/>
      <c r="F26" s="42"/>
      <c r="G26" s="43" t="str">
        <f>IF(SUM(C27:F27)=0,"",IF(SUM(C26:F26)&lt;1,"&lt;100%",IF(SUM(C26:F26)&gt;1,"&gt;100%","OK")))</f>
        <v/>
      </c>
      <c r="H26" s="44"/>
      <c r="I26" s="4"/>
      <c r="J26" s="45">
        <f>'Leite - Produção'!S11</f>
        <v>0</v>
      </c>
      <c r="K26" s="46"/>
      <c r="L26" s="202"/>
      <c r="M26" s="47"/>
      <c r="N26" s="31"/>
      <c r="O26" s="4"/>
      <c r="P26" s="48" t="e">
        <f>SUM(F27+D27)/H26</f>
        <v>#DIV/0!</v>
      </c>
      <c r="R26" s="22" t="str">
        <f t="shared" si="0"/>
        <v>20/21</v>
      </c>
      <c r="S26" s="69" t="str">
        <f t="shared" si="2"/>
        <v>'0185</v>
      </c>
      <c r="T26" s="49">
        <v>7590</v>
      </c>
      <c r="U26" s="49"/>
      <c r="V26" s="73"/>
      <c r="W26" s="50">
        <f>+G32</f>
        <v>0</v>
      </c>
      <c r="X26" s="23">
        <f>D32</f>
        <v>0</v>
      </c>
      <c r="Y26" s="74" t="s">
        <v>41</v>
      </c>
    </row>
    <row r="27" spans="1:35" ht="15.6" customHeight="1">
      <c r="A27" s="200"/>
      <c r="B27" s="201"/>
      <c r="C27" s="52">
        <f>+C26*B26</f>
        <v>0</v>
      </c>
      <c r="D27" s="52">
        <f>+D26*B26</f>
        <v>0</v>
      </c>
      <c r="E27" s="52">
        <f>+E26*B26</f>
        <v>0</v>
      </c>
      <c r="F27" s="52">
        <f>+F26*B26</f>
        <v>0</v>
      </c>
      <c r="G27" s="36"/>
      <c r="H27" s="36"/>
      <c r="I27" s="4"/>
      <c r="J27" s="36"/>
      <c r="K27" s="53"/>
      <c r="L27" s="202"/>
      <c r="M27" s="31"/>
      <c r="N27" s="31"/>
      <c r="O27" s="36"/>
      <c r="P27" s="36"/>
      <c r="R27" s="22" t="str">
        <f t="shared" si="0"/>
        <v>20/21</v>
      </c>
      <c r="S27" s="69" t="str">
        <f t="shared" si="2"/>
        <v>'0185</v>
      </c>
      <c r="T27" s="23" t="s">
        <v>42</v>
      </c>
      <c r="U27" s="23"/>
      <c r="V27" s="73"/>
      <c r="W27" s="73"/>
      <c r="X27" s="23">
        <f>K32</f>
        <v>0</v>
      </c>
      <c r="Y27" s="70" t="s">
        <v>43</v>
      </c>
    </row>
    <row r="28" spans="1:35" ht="4.5" customHeight="1">
      <c r="A28" s="55"/>
      <c r="B28" s="56">
        <v>3</v>
      </c>
      <c r="C28" s="57"/>
      <c r="D28" s="57"/>
      <c r="E28" s="57"/>
      <c r="F28" s="57"/>
      <c r="G28" s="57"/>
      <c r="H28" s="36"/>
      <c r="I28" s="29"/>
      <c r="J28" s="36"/>
      <c r="K28" s="36"/>
      <c r="L28" s="75"/>
      <c r="M28" s="36"/>
      <c r="N28" s="36"/>
      <c r="O28" s="36"/>
      <c r="P28" s="36"/>
      <c r="R28" s="22" t="str">
        <f t="shared" si="0"/>
        <v>20/21</v>
      </c>
      <c r="S28" s="69" t="str">
        <f t="shared" si="2"/>
        <v>'0185</v>
      </c>
      <c r="T28" s="23" t="s">
        <v>44</v>
      </c>
      <c r="U28" s="23"/>
      <c r="V28" s="73"/>
      <c r="W28" s="73"/>
      <c r="X28" s="23">
        <f>K33</f>
        <v>0</v>
      </c>
      <c r="Y28" s="70" t="s">
        <v>45</v>
      </c>
    </row>
    <row r="29" spans="1:35" ht="16.350000000000001" customHeight="1">
      <c r="A29" s="203" t="s">
        <v>46</v>
      </c>
      <c r="B29" s="204" t="s">
        <v>47</v>
      </c>
      <c r="C29" s="204"/>
      <c r="D29" s="204"/>
      <c r="E29" s="204" t="s">
        <v>48</v>
      </c>
      <c r="F29" s="204"/>
      <c r="G29" s="204"/>
      <c r="H29" s="205" t="s">
        <v>49</v>
      </c>
      <c r="I29" s="4"/>
      <c r="J29" s="203" t="s">
        <v>46</v>
      </c>
      <c r="K29" s="204" t="s">
        <v>50</v>
      </c>
      <c r="L29" s="204"/>
      <c r="M29" s="204"/>
      <c r="N29" s="200" t="s">
        <v>51</v>
      </c>
      <c r="O29" s="200"/>
      <c r="P29" s="200"/>
      <c r="R29" s="22" t="str">
        <f t="shared" si="0"/>
        <v>20/21</v>
      </c>
      <c r="S29" s="69" t="str">
        <f t="shared" si="2"/>
        <v>'0185</v>
      </c>
      <c r="T29" s="23" t="s">
        <v>52</v>
      </c>
      <c r="U29" s="23"/>
      <c r="V29" s="73"/>
      <c r="W29" s="73"/>
      <c r="X29" s="23">
        <f>L32</f>
        <v>0</v>
      </c>
      <c r="Y29" s="70" t="s">
        <v>53</v>
      </c>
    </row>
    <row r="30" spans="1:35" ht="16.5" customHeight="1">
      <c r="A30" s="203"/>
      <c r="B30" s="198" t="s">
        <v>54</v>
      </c>
      <c r="C30" s="198" t="s">
        <v>55</v>
      </c>
      <c r="D30" s="198" t="s">
        <v>56</v>
      </c>
      <c r="E30" s="198" t="s">
        <v>54</v>
      </c>
      <c r="F30" s="198" t="s">
        <v>55</v>
      </c>
      <c r="G30" s="198" t="s">
        <v>56</v>
      </c>
      <c r="H30" s="205"/>
      <c r="I30" s="4"/>
      <c r="J30" s="203"/>
      <c r="K30" s="199" t="s">
        <v>57</v>
      </c>
      <c r="L30" s="199" t="s">
        <v>58</v>
      </c>
      <c r="M30" s="199" t="s">
        <v>59</v>
      </c>
      <c r="N30" s="200"/>
      <c r="O30" s="200"/>
      <c r="P30" s="200"/>
      <c r="R30" s="22" t="str">
        <f t="shared" si="0"/>
        <v>20/21</v>
      </c>
      <c r="S30" s="69" t="str">
        <f t="shared" si="2"/>
        <v>'0185</v>
      </c>
      <c r="T30" s="23" t="s">
        <v>60</v>
      </c>
      <c r="U30" s="23"/>
      <c r="V30" s="24"/>
      <c r="W30" s="24"/>
      <c r="X30" s="23">
        <f>+L33</f>
        <v>0</v>
      </c>
      <c r="Y30" s="70" t="s">
        <v>61</v>
      </c>
    </row>
    <row r="31" spans="1:35" ht="18" customHeight="1">
      <c r="A31" s="203"/>
      <c r="B31" s="198"/>
      <c r="C31" s="198"/>
      <c r="D31" s="198"/>
      <c r="E31" s="198"/>
      <c r="F31" s="198"/>
      <c r="G31" s="198"/>
      <c r="H31" s="205"/>
      <c r="I31" s="4"/>
      <c r="J31" s="203"/>
      <c r="K31" s="199"/>
      <c r="L31" s="199"/>
      <c r="M31" s="199"/>
      <c r="N31" s="60" t="s">
        <v>62</v>
      </c>
      <c r="O31" s="60" t="s">
        <v>63</v>
      </c>
      <c r="P31" s="60" t="s">
        <v>64</v>
      </c>
      <c r="R31" s="22" t="str">
        <f t="shared" si="0"/>
        <v>20/21</v>
      </c>
      <c r="S31" s="69" t="str">
        <f t="shared" si="2"/>
        <v>'0185</v>
      </c>
      <c r="T31" s="23" t="s">
        <v>65</v>
      </c>
      <c r="U31" s="23"/>
      <c r="V31" s="24"/>
      <c r="W31" s="24"/>
      <c r="X31" s="23">
        <f>+M33</f>
        <v>0</v>
      </c>
      <c r="Y31" s="70" t="s">
        <v>66</v>
      </c>
    </row>
    <row r="32" spans="1:35" ht="16.5" customHeight="1">
      <c r="A32" s="60" t="s">
        <v>67</v>
      </c>
      <c r="B32" s="61"/>
      <c r="C32" s="61"/>
      <c r="D32" s="61"/>
      <c r="E32" s="61"/>
      <c r="F32" s="61"/>
      <c r="G32" s="61"/>
      <c r="H32" s="62"/>
      <c r="I32" s="4"/>
      <c r="J32" s="60" t="s">
        <v>67</v>
      </c>
      <c r="K32" s="61"/>
      <c r="L32" s="61"/>
      <c r="M32" s="61"/>
      <c r="N32" s="61"/>
      <c r="O32" s="61"/>
      <c r="P32" s="61"/>
      <c r="R32" s="22" t="str">
        <f t="shared" si="0"/>
        <v>20/21</v>
      </c>
      <c r="S32" s="69" t="str">
        <f t="shared" si="2"/>
        <v>'0185</v>
      </c>
      <c r="T32" s="49">
        <v>7006</v>
      </c>
      <c r="U32" s="49"/>
      <c r="V32" s="24"/>
      <c r="W32" s="24"/>
      <c r="X32" s="23">
        <f>N32</f>
        <v>0</v>
      </c>
      <c r="Y32" s="74" t="s">
        <v>68</v>
      </c>
    </row>
    <row r="33" spans="1:25" ht="16.5" customHeight="1">
      <c r="A33" s="60" t="s">
        <v>69</v>
      </c>
      <c r="B33" s="61"/>
      <c r="C33" s="61"/>
      <c r="D33" s="36"/>
      <c r="E33" s="61"/>
      <c r="F33" s="61"/>
      <c r="G33" s="64"/>
      <c r="H33" s="62"/>
      <c r="I33" s="4"/>
      <c r="J33" s="60" t="s">
        <v>69</v>
      </c>
      <c r="K33" s="61"/>
      <c r="L33" s="61"/>
      <c r="M33" s="65"/>
      <c r="N33" s="66"/>
      <c r="O33" s="66"/>
      <c r="P33" s="66"/>
      <c r="R33" s="22" t="str">
        <f t="shared" si="0"/>
        <v>20/21</v>
      </c>
      <c r="S33" s="69" t="str">
        <f t="shared" si="2"/>
        <v>'0185</v>
      </c>
      <c r="T33" s="49">
        <v>7007</v>
      </c>
      <c r="U33" s="49"/>
      <c r="V33" s="24"/>
      <c r="W33" s="24"/>
      <c r="X33" s="23">
        <f>O32</f>
        <v>0</v>
      </c>
      <c r="Y33" s="74" t="s">
        <v>70</v>
      </c>
    </row>
    <row r="34" spans="1:25" ht="18" customHeight="1">
      <c r="A34" s="37" t="s">
        <v>71</v>
      </c>
      <c r="B34" s="67">
        <f>IF(B26="","",(B33+B32)/B26)</f>
        <v>0</v>
      </c>
      <c r="C34" s="67">
        <f>IF(B26="","",(C33+C32)/B26)</f>
        <v>0</v>
      </c>
      <c r="D34" s="67">
        <f>IF(B26="","",(D33+D32)/B26)</f>
        <v>0</v>
      </c>
      <c r="E34" s="195" t="str">
        <f>IF(B26="","",IF(B34+C34+D34&gt;Bovinos!$AD$5," -&gt; índices (somados) acima da média",IF(B34+C34+D34&lt;Bovinos!$AD$4," -&gt; índices (somados) abaixo da média","")))</f>
        <v xml:space="preserve"> -&gt; índices (somados) abaixo da média</v>
      </c>
      <c r="F34" s="195"/>
      <c r="G34" s="195"/>
      <c r="H34" s="195"/>
      <c r="I34" s="4"/>
      <c r="J34" s="37" t="s">
        <v>71</v>
      </c>
      <c r="K34" s="68">
        <f>IF(B26="","-",(K33+K32)/B26)</f>
        <v>0</v>
      </c>
      <c r="L34" s="68">
        <f>IF(B26="","-",(L33+L32)/B26)</f>
        <v>0</v>
      </c>
      <c r="M34" s="68">
        <f>IF(B26="","-",(M33+M32+O32+N32+P32)/B26)</f>
        <v>0</v>
      </c>
      <c r="N34" s="195" t="str">
        <f>IF(AND(K34="-",L34="-",M34="-"),"",IF(K34&gt;Bovinos!$AA$5," -&gt; índice(s) fora da faixa média",IF(K34&lt;Bovinos!$AA$4," -&gt; índice(s) fora da faixa média",IF(L34&gt;Bovinos!$AB$5," -&gt; índice(s) fora da faixa média",IF(L34&lt;Bovinos!$AB$4," -&gt; índice(s) fora da faixa média",IF(M34&gt;Bovinos!$AC$5," -&gt; índice(s) fora da faixa média",IF(M34&lt;Bovinos!$AC$4," -&gt; índice(s) fora da faixa média","")))))))</f>
        <v xml:space="preserve"> -&gt; índice(s) fora da faixa média</v>
      </c>
      <c r="O34" s="195"/>
      <c r="P34" s="195"/>
      <c r="R34" s="22" t="str">
        <f t="shared" si="0"/>
        <v>20/21</v>
      </c>
      <c r="S34" s="69" t="str">
        <f t="shared" si="2"/>
        <v>'0185</v>
      </c>
      <c r="T34" s="49">
        <v>7008</v>
      </c>
      <c r="U34" s="49"/>
      <c r="V34" s="24"/>
      <c r="W34" s="24"/>
      <c r="X34" s="23">
        <f>P32</f>
        <v>0</v>
      </c>
      <c r="Y34" s="74" t="s">
        <v>72</v>
      </c>
    </row>
    <row r="35" spans="1:25" ht="8.2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R35" s="22" t="str">
        <f t="shared" si="0"/>
        <v>20/21</v>
      </c>
      <c r="S35" s="69" t="str">
        <f t="shared" si="2"/>
        <v>'0185</v>
      </c>
      <c r="T35" s="23" t="s">
        <v>73</v>
      </c>
      <c r="U35" s="23"/>
      <c r="V35" s="24"/>
      <c r="W35" s="18"/>
      <c r="X35" s="23">
        <f>+M32</f>
        <v>0</v>
      </c>
      <c r="Y35" s="70" t="s">
        <v>74</v>
      </c>
    </row>
    <row r="36" spans="1:25" ht="8.2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R36" s="22" t="str">
        <f t="shared" si="0"/>
        <v>20/21</v>
      </c>
      <c r="S36" s="69" t="str">
        <f t="shared" si="2"/>
        <v>'0185</v>
      </c>
      <c r="T36" s="23" t="s">
        <v>75</v>
      </c>
      <c r="U36" s="23">
        <f>+H26</f>
        <v>0</v>
      </c>
      <c r="V36" s="24"/>
      <c r="W36" s="18"/>
      <c r="X36" s="23"/>
      <c r="Y36" s="70" t="s">
        <v>76</v>
      </c>
    </row>
    <row r="37" spans="1:25" ht="16.5" customHeight="1">
      <c r="A37" s="20" t="s">
        <v>19</v>
      </c>
      <c r="B37" s="20" t="s">
        <v>79</v>
      </c>
      <c r="C37" s="21" t="s">
        <v>80</v>
      </c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R37" s="22" t="str">
        <f t="shared" si="0"/>
        <v>20/21</v>
      </c>
      <c r="S37" s="69" t="str">
        <f>+B37</f>
        <v>'0330</v>
      </c>
      <c r="T37" s="23">
        <v>7014</v>
      </c>
      <c r="U37" s="23"/>
      <c r="V37" s="24">
        <f>J41</f>
        <v>0</v>
      </c>
      <c r="W37" s="24"/>
      <c r="X37" s="24"/>
      <c r="Y37" s="70" t="s">
        <v>22</v>
      </c>
    </row>
    <row r="38" spans="1:25" ht="6" customHeight="1">
      <c r="A38" s="26"/>
      <c r="B38" s="27"/>
      <c r="C38" s="28"/>
      <c r="D38" s="28"/>
      <c r="E38" s="28"/>
      <c r="F38" s="28"/>
      <c r="G38" s="4"/>
      <c r="H38" s="4"/>
      <c r="I38" s="29"/>
      <c r="J38" s="4"/>
      <c r="K38" s="4"/>
      <c r="L38" s="71"/>
      <c r="M38" s="4"/>
      <c r="N38" s="4"/>
      <c r="O38" s="4"/>
      <c r="P38" s="4"/>
      <c r="R38" s="22" t="str">
        <f t="shared" si="0"/>
        <v>20/21</v>
      </c>
      <c r="S38" s="69" t="str">
        <f t="shared" ref="S38:S51" si="3">+S37</f>
        <v>'0330</v>
      </c>
      <c r="T38" s="24"/>
      <c r="U38" s="24"/>
      <c r="V38" s="32">
        <f>M41</f>
        <v>0</v>
      </c>
      <c r="W38" s="24"/>
      <c r="X38" s="24"/>
      <c r="Y38" s="72" t="s">
        <v>23</v>
      </c>
    </row>
    <row r="39" spans="1:25" ht="11.25" customHeight="1">
      <c r="A39" s="36"/>
      <c r="B39" s="200" t="s">
        <v>27</v>
      </c>
      <c r="C39" s="205" t="s">
        <v>28</v>
      </c>
      <c r="D39" s="205"/>
      <c r="E39" s="205" t="s">
        <v>29</v>
      </c>
      <c r="F39" s="205"/>
      <c r="G39" s="36"/>
      <c r="H39" s="205" t="s">
        <v>30</v>
      </c>
      <c r="I39" s="4"/>
      <c r="J39" s="206" t="s">
        <v>31</v>
      </c>
      <c r="K39" s="207"/>
      <c r="L39" s="202"/>
      <c r="M39" s="208"/>
      <c r="N39" s="38"/>
      <c r="O39" s="4"/>
      <c r="P39" s="206" t="s">
        <v>32</v>
      </c>
      <c r="R39" s="22" t="str">
        <f t="shared" si="0"/>
        <v>20/21</v>
      </c>
      <c r="S39" s="69" t="str">
        <f t="shared" si="3"/>
        <v>'0330</v>
      </c>
      <c r="T39" s="23" t="s">
        <v>33</v>
      </c>
      <c r="U39" s="23"/>
      <c r="V39" s="23">
        <f>+B41</f>
        <v>14980</v>
      </c>
      <c r="W39" s="39" t="str">
        <f>+H47</f>
        <v/>
      </c>
      <c r="X39" s="23">
        <f>B47+C47</f>
        <v>0</v>
      </c>
      <c r="Y39" s="70" t="s">
        <v>34</v>
      </c>
    </row>
    <row r="40" spans="1:25" ht="12" customHeight="1">
      <c r="A40" s="36"/>
      <c r="B40" s="200"/>
      <c r="C40" s="40" t="s">
        <v>36</v>
      </c>
      <c r="D40" s="40" t="s">
        <v>37</v>
      </c>
      <c r="E40" s="40" t="s">
        <v>36</v>
      </c>
      <c r="F40" s="40" t="s">
        <v>37</v>
      </c>
      <c r="G40" s="36"/>
      <c r="H40" s="205"/>
      <c r="I40" s="4"/>
      <c r="J40" s="206"/>
      <c r="K40" s="207"/>
      <c r="L40" s="202"/>
      <c r="M40" s="208"/>
      <c r="N40" s="38"/>
      <c r="O40" s="4"/>
      <c r="P40" s="206"/>
      <c r="R40" s="22" t="str">
        <f t="shared" si="0"/>
        <v>20/21</v>
      </c>
      <c r="S40" s="69" t="str">
        <f t="shared" si="3"/>
        <v>'0330</v>
      </c>
      <c r="T40" s="23" t="s">
        <v>38</v>
      </c>
      <c r="U40" s="23"/>
      <c r="V40" s="73"/>
      <c r="W40" s="39" t="str">
        <f>H48</f>
        <v/>
      </c>
      <c r="X40" s="23">
        <f>B48+C48</f>
        <v>0</v>
      </c>
      <c r="Y40" s="70" t="s">
        <v>39</v>
      </c>
    </row>
    <row r="41" spans="1:25" ht="16.5" customHeight="1">
      <c r="A41" s="200" t="s">
        <v>40</v>
      </c>
      <c r="B41" s="201">
        <v>14980</v>
      </c>
      <c r="C41" s="42"/>
      <c r="D41" s="42"/>
      <c r="E41" s="42"/>
      <c r="F41" s="42"/>
      <c r="G41" s="43" t="str">
        <f>IF(SUM(C42:F42)=0,"",IF(SUM(C41:F41)&lt;1,"&lt;100%",IF(SUM(C41:F41)&gt;1,"&gt;100%","OK")))</f>
        <v/>
      </c>
      <c r="H41" s="44"/>
      <c r="I41" s="4"/>
      <c r="J41" s="45">
        <f>'Leite - Produção'!S12</f>
        <v>0</v>
      </c>
      <c r="K41" s="46"/>
      <c r="L41" s="202"/>
      <c r="M41" s="47"/>
      <c r="N41" s="31"/>
      <c r="O41" s="4"/>
      <c r="P41" s="48" t="e">
        <f>SUM(F42+D42)/H41</f>
        <v>#DIV/0!</v>
      </c>
      <c r="R41" s="22" t="str">
        <f t="shared" si="0"/>
        <v>20/21</v>
      </c>
      <c r="S41" s="69" t="str">
        <f t="shared" si="3"/>
        <v>'0330</v>
      </c>
      <c r="T41" s="49">
        <v>7590</v>
      </c>
      <c r="U41" s="49"/>
      <c r="V41" s="73"/>
      <c r="W41" s="50">
        <f>+G47</f>
        <v>0</v>
      </c>
      <c r="X41" s="23">
        <f>D47</f>
        <v>0</v>
      </c>
      <c r="Y41" s="74" t="s">
        <v>41</v>
      </c>
    </row>
    <row r="42" spans="1:25" ht="16.5" customHeight="1">
      <c r="A42" s="200"/>
      <c r="B42" s="201"/>
      <c r="C42" s="52">
        <f>+C41*B41</f>
        <v>0</v>
      </c>
      <c r="D42" s="52">
        <f>+D41*B41</f>
        <v>0</v>
      </c>
      <c r="E42" s="52">
        <f>+E41*B41</f>
        <v>0</v>
      </c>
      <c r="F42" s="52">
        <f>+F41*B41</f>
        <v>0</v>
      </c>
      <c r="G42" s="36"/>
      <c r="H42" s="36"/>
      <c r="I42" s="4"/>
      <c r="J42" s="36"/>
      <c r="K42" s="53"/>
      <c r="L42" s="202"/>
      <c r="M42" s="31"/>
      <c r="N42" s="31"/>
      <c r="O42" s="36"/>
      <c r="P42" s="36"/>
      <c r="R42" s="22" t="str">
        <f t="shared" si="0"/>
        <v>20/21</v>
      </c>
      <c r="S42" s="69" t="str">
        <f t="shared" si="3"/>
        <v>'0330</v>
      </c>
      <c r="T42" s="23" t="s">
        <v>42</v>
      </c>
      <c r="U42" s="23"/>
      <c r="V42" s="73"/>
      <c r="W42" s="73"/>
      <c r="X42" s="23">
        <f>K47</f>
        <v>0</v>
      </c>
      <c r="Y42" s="70" t="s">
        <v>43</v>
      </c>
    </row>
    <row r="43" spans="1:25" ht="4.5" customHeight="1">
      <c r="A43" s="55"/>
      <c r="B43" s="56"/>
      <c r="C43" s="57"/>
      <c r="D43" s="57"/>
      <c r="E43" s="57"/>
      <c r="F43" s="57"/>
      <c r="G43" s="57"/>
      <c r="H43" s="36"/>
      <c r="I43" s="29"/>
      <c r="J43" s="36"/>
      <c r="K43" s="36"/>
      <c r="L43" s="75"/>
      <c r="M43" s="36"/>
      <c r="N43" s="36"/>
      <c r="O43" s="36"/>
      <c r="P43" s="36"/>
      <c r="R43" s="22" t="str">
        <f t="shared" si="0"/>
        <v>20/21</v>
      </c>
      <c r="S43" s="69" t="str">
        <f t="shared" si="3"/>
        <v>'0330</v>
      </c>
      <c r="T43" s="23" t="s">
        <v>44</v>
      </c>
      <c r="U43" s="23"/>
      <c r="V43" s="73"/>
      <c r="W43" s="73"/>
      <c r="X43" s="23">
        <f>K48</f>
        <v>0</v>
      </c>
      <c r="Y43" s="70" t="s">
        <v>45</v>
      </c>
    </row>
    <row r="44" spans="1:25" ht="16.5" customHeight="1">
      <c r="A44" s="203" t="s">
        <v>46</v>
      </c>
      <c r="B44" s="204" t="s">
        <v>47</v>
      </c>
      <c r="C44" s="204"/>
      <c r="D44" s="204"/>
      <c r="E44" s="204" t="s">
        <v>48</v>
      </c>
      <c r="F44" s="204"/>
      <c r="G44" s="204"/>
      <c r="H44" s="205" t="s">
        <v>49</v>
      </c>
      <c r="I44" s="4"/>
      <c r="J44" s="203" t="s">
        <v>46</v>
      </c>
      <c r="K44" s="204" t="s">
        <v>50</v>
      </c>
      <c r="L44" s="204"/>
      <c r="M44" s="204"/>
      <c r="N44" s="200" t="s">
        <v>51</v>
      </c>
      <c r="O44" s="200"/>
      <c r="P44" s="200"/>
      <c r="R44" s="22" t="str">
        <f t="shared" si="0"/>
        <v>20/21</v>
      </c>
      <c r="S44" s="69" t="str">
        <f t="shared" si="3"/>
        <v>'0330</v>
      </c>
      <c r="T44" s="23" t="s">
        <v>52</v>
      </c>
      <c r="U44" s="23"/>
      <c r="V44" s="73"/>
      <c r="W44" s="73"/>
      <c r="X44" s="23">
        <f>L47</f>
        <v>0</v>
      </c>
      <c r="Y44" s="70" t="s">
        <v>53</v>
      </c>
    </row>
    <row r="45" spans="1:25" ht="16.5" customHeight="1">
      <c r="A45" s="203"/>
      <c r="B45" s="198" t="s">
        <v>54</v>
      </c>
      <c r="C45" s="198" t="s">
        <v>55</v>
      </c>
      <c r="D45" s="198" t="s">
        <v>56</v>
      </c>
      <c r="E45" s="198" t="s">
        <v>54</v>
      </c>
      <c r="F45" s="198" t="s">
        <v>55</v>
      </c>
      <c r="G45" s="198" t="s">
        <v>56</v>
      </c>
      <c r="H45" s="205"/>
      <c r="I45" s="4"/>
      <c r="J45" s="203"/>
      <c r="K45" s="199" t="s">
        <v>57</v>
      </c>
      <c r="L45" s="199" t="s">
        <v>58</v>
      </c>
      <c r="M45" s="199" t="s">
        <v>59</v>
      </c>
      <c r="N45" s="200"/>
      <c r="O45" s="200"/>
      <c r="P45" s="200"/>
      <c r="R45" s="22" t="str">
        <f t="shared" si="0"/>
        <v>20/21</v>
      </c>
      <c r="S45" s="69" t="str">
        <f t="shared" si="3"/>
        <v>'0330</v>
      </c>
      <c r="T45" s="23" t="s">
        <v>60</v>
      </c>
      <c r="U45" s="23"/>
      <c r="V45" s="24"/>
      <c r="W45" s="24"/>
      <c r="X45" s="23">
        <f>+L48</f>
        <v>0</v>
      </c>
      <c r="Y45" s="70" t="s">
        <v>61</v>
      </c>
    </row>
    <row r="46" spans="1:25" ht="18" customHeight="1">
      <c r="A46" s="203"/>
      <c r="B46" s="198"/>
      <c r="C46" s="198"/>
      <c r="D46" s="198"/>
      <c r="E46" s="198"/>
      <c r="F46" s="198"/>
      <c r="G46" s="198"/>
      <c r="H46" s="205"/>
      <c r="I46" s="4"/>
      <c r="J46" s="203"/>
      <c r="K46" s="199"/>
      <c r="L46" s="199"/>
      <c r="M46" s="199"/>
      <c r="N46" s="60" t="s">
        <v>62</v>
      </c>
      <c r="O46" s="60" t="s">
        <v>63</v>
      </c>
      <c r="P46" s="60" t="s">
        <v>64</v>
      </c>
      <c r="R46" s="22" t="str">
        <f t="shared" si="0"/>
        <v>20/21</v>
      </c>
      <c r="S46" s="69" t="str">
        <f t="shared" si="3"/>
        <v>'0330</v>
      </c>
      <c r="T46" s="23" t="s">
        <v>65</v>
      </c>
      <c r="U46" s="23"/>
      <c r="V46" s="24"/>
      <c r="W46" s="24"/>
      <c r="X46" s="23">
        <f>+M48</f>
        <v>0</v>
      </c>
      <c r="Y46" s="70" t="s">
        <v>66</v>
      </c>
    </row>
    <row r="47" spans="1:25" ht="16.5" customHeight="1">
      <c r="A47" s="60" t="s">
        <v>67</v>
      </c>
      <c r="B47" s="61"/>
      <c r="C47" s="61"/>
      <c r="D47" s="61"/>
      <c r="E47" s="61"/>
      <c r="F47" s="61"/>
      <c r="G47" s="61"/>
      <c r="H47" s="62" t="str">
        <f>IF(B47="","",((E47*B47+F47*C47)/SUM(B47:C47)))</f>
        <v/>
      </c>
      <c r="I47" s="4"/>
      <c r="J47" s="60" t="s">
        <v>67</v>
      </c>
      <c r="K47" s="61"/>
      <c r="L47" s="61"/>
      <c r="M47" s="61"/>
      <c r="N47" s="61"/>
      <c r="O47" s="61"/>
      <c r="P47" s="61"/>
      <c r="R47" s="22" t="str">
        <f t="shared" si="0"/>
        <v>20/21</v>
      </c>
      <c r="S47" s="69" t="str">
        <f t="shared" si="3"/>
        <v>'0330</v>
      </c>
      <c r="T47" s="49">
        <v>7006</v>
      </c>
      <c r="U47" s="49"/>
      <c r="V47" s="24"/>
      <c r="W47" s="24"/>
      <c r="X47" s="23">
        <f>N47</f>
        <v>0</v>
      </c>
      <c r="Y47" s="74" t="s">
        <v>68</v>
      </c>
    </row>
    <row r="48" spans="1:25" ht="16.5" customHeight="1">
      <c r="A48" s="60" t="s">
        <v>69</v>
      </c>
      <c r="B48" s="61"/>
      <c r="C48" s="61"/>
      <c r="D48" s="36"/>
      <c r="E48" s="61"/>
      <c r="F48" s="61"/>
      <c r="G48" s="64"/>
      <c r="H48" s="62" t="str">
        <f>IF(B48="","",((E48*B48+F48*C48)/SUM(B48:C48)))</f>
        <v/>
      </c>
      <c r="I48" s="4"/>
      <c r="J48" s="60" t="s">
        <v>69</v>
      </c>
      <c r="K48" s="61"/>
      <c r="L48" s="61"/>
      <c r="M48" s="65"/>
      <c r="N48" s="66"/>
      <c r="O48" s="66"/>
      <c r="P48" s="66"/>
      <c r="R48" s="22" t="str">
        <f t="shared" si="0"/>
        <v>20/21</v>
      </c>
      <c r="S48" s="69" t="str">
        <f t="shared" si="3"/>
        <v>'0330</v>
      </c>
      <c r="T48" s="49">
        <v>7007</v>
      </c>
      <c r="U48" s="49"/>
      <c r="V48" s="24"/>
      <c r="W48" s="24"/>
      <c r="X48" s="23">
        <f>O47</f>
        <v>0</v>
      </c>
      <c r="Y48" s="74" t="s">
        <v>70</v>
      </c>
    </row>
    <row r="49" spans="1:25" ht="18" customHeight="1">
      <c r="A49" s="37" t="s">
        <v>71</v>
      </c>
      <c r="B49" s="67">
        <f>IF(B41="","",(B48+B47)/B41)</f>
        <v>0</v>
      </c>
      <c r="C49" s="67">
        <f>IF(B41="","",(C48+C47)/B41)</f>
        <v>0</v>
      </c>
      <c r="D49" s="67">
        <f>IF(B41="","",(D48+D47)/B41)</f>
        <v>0</v>
      </c>
      <c r="E49" s="195" t="str">
        <f>IF(B41="","",IF(B49+C49+D49&gt;Bovinos!$AD$5," -&gt; índices (somados) acima da média",IF(B49+C49+D49&lt;Bovinos!$AD$4," -&gt; índices (somados) abaixo da média","")))</f>
        <v xml:space="preserve"> -&gt; índices (somados) abaixo da média</v>
      </c>
      <c r="F49" s="195"/>
      <c r="G49" s="195"/>
      <c r="H49" s="195"/>
      <c r="I49" s="4"/>
      <c r="J49" s="37" t="s">
        <v>71</v>
      </c>
      <c r="K49" s="68">
        <f>IF(B41="","-",(K48+K47)/B41)</f>
        <v>0</v>
      </c>
      <c r="L49" s="68">
        <f>IF(B41="","-",(L48+L47)/B41)</f>
        <v>0</v>
      </c>
      <c r="M49" s="68">
        <f>IF(B41="","-",(M48+M47+O47+N47+P47)/B41)</f>
        <v>0</v>
      </c>
      <c r="N49" s="195" t="str">
        <f>IF(AND(K49="-",L49="-",M49="-"),"",IF(K49&gt;Bovinos!$AA$5," -&gt; índice(s) fora da faixa média",IF(K49&lt;Bovinos!$AA$4," -&gt; índice(s) fora da faixa média",IF(L49&gt;Bovinos!$AB$5," -&gt; índice(s) fora da faixa média",IF(L49&lt;Bovinos!$AB$4," -&gt; índice(s) fora da faixa média",IF(M49&gt;Bovinos!$AC$5," -&gt; índice(s) fora da faixa média",IF(M49&lt;Bovinos!$AC$4," -&gt; índice(s) fora da faixa média","")))))))</f>
        <v xml:space="preserve"> -&gt; índice(s) fora da faixa média</v>
      </c>
      <c r="O49" s="195"/>
      <c r="P49" s="195"/>
      <c r="R49" s="22" t="str">
        <f t="shared" si="0"/>
        <v>20/21</v>
      </c>
      <c r="S49" s="69" t="str">
        <f t="shared" si="3"/>
        <v>'0330</v>
      </c>
      <c r="T49" s="49">
        <v>7008</v>
      </c>
      <c r="U49" s="49"/>
      <c r="V49" s="24"/>
      <c r="W49" s="24"/>
      <c r="X49" s="23">
        <f>P47</f>
        <v>0</v>
      </c>
      <c r="Y49" s="74" t="s">
        <v>72</v>
      </c>
    </row>
    <row r="50" spans="1:25" ht="7.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R50" s="22" t="str">
        <f t="shared" si="0"/>
        <v>20/21</v>
      </c>
      <c r="S50" s="69" t="str">
        <f t="shared" si="3"/>
        <v>'0330</v>
      </c>
      <c r="T50" s="23" t="s">
        <v>73</v>
      </c>
      <c r="U50" s="23"/>
      <c r="V50" s="24"/>
      <c r="W50" s="18"/>
      <c r="X50" s="23">
        <f>+M47</f>
        <v>0</v>
      </c>
      <c r="Y50" s="70" t="s">
        <v>74</v>
      </c>
    </row>
    <row r="51" spans="1:25" ht="7.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R51" s="22" t="str">
        <f t="shared" si="0"/>
        <v>20/21</v>
      </c>
      <c r="S51" s="69" t="str">
        <f t="shared" si="3"/>
        <v>'0330</v>
      </c>
      <c r="T51" s="23" t="s">
        <v>75</v>
      </c>
      <c r="U51" s="23">
        <f>+H41</f>
        <v>0</v>
      </c>
      <c r="V51" s="24"/>
      <c r="W51" s="18"/>
      <c r="X51" s="23"/>
      <c r="Y51" s="70" t="s">
        <v>76</v>
      </c>
    </row>
    <row r="52" spans="1:25" ht="16.5" customHeight="1">
      <c r="A52" s="20" t="s">
        <v>19</v>
      </c>
      <c r="B52" s="20" t="s">
        <v>81</v>
      </c>
      <c r="C52" s="21" t="s">
        <v>82</v>
      </c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R52" s="22" t="str">
        <f t="shared" si="0"/>
        <v>20/21</v>
      </c>
      <c r="S52" s="69" t="str">
        <f>+B52</f>
        <v>'0685</v>
      </c>
      <c r="T52" s="23">
        <v>7014</v>
      </c>
      <c r="U52" s="23"/>
      <c r="V52" s="24">
        <f>J56</f>
        <v>0</v>
      </c>
      <c r="W52" s="24"/>
      <c r="X52" s="24"/>
      <c r="Y52" s="70" t="s">
        <v>22</v>
      </c>
    </row>
    <row r="53" spans="1:25" ht="6" customHeight="1">
      <c r="A53" s="26"/>
      <c r="B53" s="27"/>
      <c r="C53" s="28"/>
      <c r="D53" s="28"/>
      <c r="E53" s="28"/>
      <c r="F53" s="28"/>
      <c r="G53" s="4"/>
      <c r="H53" s="4"/>
      <c r="I53" s="29"/>
      <c r="J53" s="4"/>
      <c r="K53" s="4"/>
      <c r="L53" s="71"/>
      <c r="M53" s="4"/>
      <c r="N53" s="4"/>
      <c r="O53" s="4"/>
      <c r="P53" s="4"/>
      <c r="R53" s="22" t="str">
        <f t="shared" si="0"/>
        <v>20/21</v>
      </c>
      <c r="S53" s="69" t="str">
        <f t="shared" ref="S53:S66" si="4">+S52</f>
        <v>'0685</v>
      </c>
      <c r="T53" s="24"/>
      <c r="U53" s="24"/>
      <c r="V53" s="32">
        <f>M56</f>
        <v>0</v>
      </c>
      <c r="W53" s="24"/>
      <c r="X53" s="24"/>
      <c r="Y53" s="72" t="s">
        <v>23</v>
      </c>
    </row>
    <row r="54" spans="1:25" ht="11.25" customHeight="1">
      <c r="A54" s="36"/>
      <c r="B54" s="200" t="s">
        <v>27</v>
      </c>
      <c r="C54" s="205" t="s">
        <v>28</v>
      </c>
      <c r="D54" s="205"/>
      <c r="E54" s="205" t="s">
        <v>29</v>
      </c>
      <c r="F54" s="205"/>
      <c r="G54" s="36"/>
      <c r="H54" s="205" t="s">
        <v>30</v>
      </c>
      <c r="I54" s="4"/>
      <c r="J54" s="206" t="s">
        <v>31</v>
      </c>
      <c r="K54" s="207"/>
      <c r="L54" s="202"/>
      <c r="M54" s="208"/>
      <c r="N54" s="38"/>
      <c r="O54" s="4"/>
      <c r="P54" s="206" t="s">
        <v>32</v>
      </c>
      <c r="R54" s="22" t="str">
        <f t="shared" si="0"/>
        <v>20/21</v>
      </c>
      <c r="S54" s="69" t="str">
        <f t="shared" si="4"/>
        <v>'0685</v>
      </c>
      <c r="T54" s="23" t="s">
        <v>33</v>
      </c>
      <c r="U54" s="23"/>
      <c r="V54" s="23">
        <f>+B56</f>
        <v>11518</v>
      </c>
      <c r="W54" s="39" t="str">
        <f>+H62</f>
        <v/>
      </c>
      <c r="X54" s="23">
        <f>B62+C62</f>
        <v>0</v>
      </c>
      <c r="Y54" s="70" t="s">
        <v>34</v>
      </c>
    </row>
    <row r="55" spans="1:25" ht="12" customHeight="1">
      <c r="A55" s="36"/>
      <c r="B55" s="200"/>
      <c r="C55" s="40" t="s">
        <v>36</v>
      </c>
      <c r="D55" s="40" t="s">
        <v>37</v>
      </c>
      <c r="E55" s="40" t="s">
        <v>36</v>
      </c>
      <c r="F55" s="40" t="s">
        <v>37</v>
      </c>
      <c r="G55" s="36"/>
      <c r="H55" s="205"/>
      <c r="I55" s="4"/>
      <c r="J55" s="206"/>
      <c r="K55" s="207"/>
      <c r="L55" s="202"/>
      <c r="M55" s="208"/>
      <c r="N55" s="38"/>
      <c r="O55" s="4"/>
      <c r="P55" s="206"/>
      <c r="R55" s="22" t="str">
        <f t="shared" si="0"/>
        <v>20/21</v>
      </c>
      <c r="S55" s="69" t="str">
        <f t="shared" si="4"/>
        <v>'0685</v>
      </c>
      <c r="T55" s="23" t="s">
        <v>38</v>
      </c>
      <c r="U55" s="23"/>
      <c r="V55" s="73"/>
      <c r="W55" s="39" t="str">
        <f>H63</f>
        <v/>
      </c>
      <c r="X55" s="23">
        <f>B63+C63</f>
        <v>0</v>
      </c>
      <c r="Y55" s="70" t="s">
        <v>39</v>
      </c>
    </row>
    <row r="56" spans="1:25" ht="16.5" customHeight="1">
      <c r="A56" s="200" t="s">
        <v>40</v>
      </c>
      <c r="B56" s="201">
        <v>11518</v>
      </c>
      <c r="C56" s="42"/>
      <c r="D56" s="42"/>
      <c r="E56" s="42"/>
      <c r="F56" s="42"/>
      <c r="G56" s="43" t="str">
        <f>IF(SUM(C57:F57)=0,"",IF(SUM(C56:F56)&lt;1,"&lt;100%",IF(SUM(C56:F56)&gt;1,"&gt;100%","OK")))</f>
        <v/>
      </c>
      <c r="H56" s="44"/>
      <c r="I56" s="4"/>
      <c r="J56" s="45">
        <f>'Leite - Produção'!S13</f>
        <v>0</v>
      </c>
      <c r="K56" s="46"/>
      <c r="L56" s="202"/>
      <c r="M56" s="47"/>
      <c r="N56" s="31"/>
      <c r="O56" s="4"/>
      <c r="P56" s="48" t="e">
        <f>SUM(F57+D57)/H56</f>
        <v>#DIV/0!</v>
      </c>
      <c r="R56" s="22" t="str">
        <f t="shared" si="0"/>
        <v>20/21</v>
      </c>
      <c r="S56" s="69" t="str">
        <f t="shared" si="4"/>
        <v>'0685</v>
      </c>
      <c r="T56" s="49">
        <v>7590</v>
      </c>
      <c r="U56" s="49"/>
      <c r="V56" s="73"/>
      <c r="W56" s="50">
        <f>+G62</f>
        <v>0</v>
      </c>
      <c r="X56" s="23">
        <f>D62</f>
        <v>0</v>
      </c>
      <c r="Y56" s="74" t="s">
        <v>41</v>
      </c>
    </row>
    <row r="57" spans="1:25" ht="16.5" customHeight="1">
      <c r="A57" s="200"/>
      <c r="B57" s="201"/>
      <c r="C57" s="52">
        <f>+C56*B56</f>
        <v>0</v>
      </c>
      <c r="D57" s="52">
        <f>+D56*B56</f>
        <v>0</v>
      </c>
      <c r="E57" s="52">
        <f>+E56*B56</f>
        <v>0</v>
      </c>
      <c r="F57" s="52">
        <f>+F56*B56</f>
        <v>0</v>
      </c>
      <c r="G57" s="36"/>
      <c r="H57" s="36"/>
      <c r="I57" s="4"/>
      <c r="J57" s="36"/>
      <c r="K57" s="53"/>
      <c r="L57" s="202"/>
      <c r="M57" s="31"/>
      <c r="N57" s="31"/>
      <c r="O57" s="36"/>
      <c r="P57" s="36"/>
      <c r="R57" s="22" t="str">
        <f t="shared" si="0"/>
        <v>20/21</v>
      </c>
      <c r="S57" s="69" t="str">
        <f t="shared" si="4"/>
        <v>'0685</v>
      </c>
      <c r="T57" s="23" t="s">
        <v>42</v>
      </c>
      <c r="U57" s="23"/>
      <c r="V57" s="73"/>
      <c r="W57" s="73"/>
      <c r="X57" s="23">
        <f>K62</f>
        <v>0</v>
      </c>
      <c r="Y57" s="70" t="s">
        <v>43</v>
      </c>
    </row>
    <row r="58" spans="1:25" ht="4.5" customHeight="1">
      <c r="A58" s="55"/>
      <c r="B58" s="56"/>
      <c r="C58" s="57"/>
      <c r="D58" s="57"/>
      <c r="E58" s="57"/>
      <c r="F58" s="57"/>
      <c r="G58" s="57"/>
      <c r="H58" s="36"/>
      <c r="I58" s="29"/>
      <c r="J58" s="36"/>
      <c r="K58" s="36"/>
      <c r="L58" s="75"/>
      <c r="M58" s="36"/>
      <c r="N58" s="36"/>
      <c r="O58" s="36"/>
      <c r="P58" s="36"/>
      <c r="R58" s="22" t="str">
        <f t="shared" si="0"/>
        <v>20/21</v>
      </c>
      <c r="S58" s="69" t="str">
        <f t="shared" si="4"/>
        <v>'0685</v>
      </c>
      <c r="T58" s="23" t="s">
        <v>44</v>
      </c>
      <c r="U58" s="23"/>
      <c r="V58" s="73"/>
      <c r="W58" s="73"/>
      <c r="X58" s="23">
        <f>K63</f>
        <v>0</v>
      </c>
      <c r="Y58" s="70" t="s">
        <v>45</v>
      </c>
    </row>
    <row r="59" spans="1:25" ht="16.5" customHeight="1">
      <c r="A59" s="203" t="s">
        <v>46</v>
      </c>
      <c r="B59" s="204" t="s">
        <v>47</v>
      </c>
      <c r="C59" s="204"/>
      <c r="D59" s="204"/>
      <c r="E59" s="204" t="s">
        <v>48</v>
      </c>
      <c r="F59" s="204"/>
      <c r="G59" s="204"/>
      <c r="H59" s="205" t="s">
        <v>49</v>
      </c>
      <c r="I59" s="4"/>
      <c r="J59" s="203" t="s">
        <v>46</v>
      </c>
      <c r="K59" s="204" t="s">
        <v>50</v>
      </c>
      <c r="L59" s="204"/>
      <c r="M59" s="204"/>
      <c r="N59" s="200" t="s">
        <v>51</v>
      </c>
      <c r="O59" s="200"/>
      <c r="P59" s="200"/>
      <c r="R59" s="22" t="str">
        <f t="shared" si="0"/>
        <v>20/21</v>
      </c>
      <c r="S59" s="69" t="str">
        <f t="shared" si="4"/>
        <v>'0685</v>
      </c>
      <c r="T59" s="23" t="s">
        <v>52</v>
      </c>
      <c r="U59" s="23"/>
      <c r="V59" s="73"/>
      <c r="W59" s="73"/>
      <c r="X59" s="23">
        <f>L62</f>
        <v>0</v>
      </c>
      <c r="Y59" s="70" t="s">
        <v>53</v>
      </c>
    </row>
    <row r="60" spans="1:25" ht="16.5" customHeight="1">
      <c r="A60" s="203"/>
      <c r="B60" s="198" t="s">
        <v>54</v>
      </c>
      <c r="C60" s="198" t="s">
        <v>55</v>
      </c>
      <c r="D60" s="198" t="s">
        <v>56</v>
      </c>
      <c r="E60" s="198" t="s">
        <v>54</v>
      </c>
      <c r="F60" s="198" t="s">
        <v>55</v>
      </c>
      <c r="G60" s="198" t="s">
        <v>56</v>
      </c>
      <c r="H60" s="205"/>
      <c r="I60" s="4"/>
      <c r="J60" s="203"/>
      <c r="K60" s="199" t="s">
        <v>57</v>
      </c>
      <c r="L60" s="199" t="s">
        <v>58</v>
      </c>
      <c r="M60" s="199" t="s">
        <v>59</v>
      </c>
      <c r="N60" s="200"/>
      <c r="O60" s="200"/>
      <c r="P60" s="200"/>
      <c r="R60" s="22" t="str">
        <f t="shared" si="0"/>
        <v>20/21</v>
      </c>
      <c r="S60" s="69" t="str">
        <f t="shared" si="4"/>
        <v>'0685</v>
      </c>
      <c r="T60" s="23" t="s">
        <v>60</v>
      </c>
      <c r="U60" s="23"/>
      <c r="V60" s="24"/>
      <c r="W60" s="24"/>
      <c r="X60" s="23">
        <f>+L63</f>
        <v>0</v>
      </c>
      <c r="Y60" s="70" t="s">
        <v>61</v>
      </c>
    </row>
    <row r="61" spans="1:25" ht="18" customHeight="1">
      <c r="A61" s="203"/>
      <c r="B61" s="198"/>
      <c r="C61" s="198"/>
      <c r="D61" s="198"/>
      <c r="E61" s="198"/>
      <c r="F61" s="198"/>
      <c r="G61" s="198"/>
      <c r="H61" s="205"/>
      <c r="I61" s="4"/>
      <c r="J61" s="203"/>
      <c r="K61" s="199"/>
      <c r="L61" s="199"/>
      <c r="M61" s="199"/>
      <c r="N61" s="60" t="s">
        <v>62</v>
      </c>
      <c r="O61" s="60" t="s">
        <v>63</v>
      </c>
      <c r="P61" s="60" t="s">
        <v>64</v>
      </c>
      <c r="R61" s="22" t="str">
        <f t="shared" si="0"/>
        <v>20/21</v>
      </c>
      <c r="S61" s="69" t="str">
        <f t="shared" si="4"/>
        <v>'0685</v>
      </c>
      <c r="T61" s="23" t="s">
        <v>65</v>
      </c>
      <c r="U61" s="23"/>
      <c r="V61" s="24"/>
      <c r="W61" s="24"/>
      <c r="X61" s="23">
        <f>+M63</f>
        <v>0</v>
      </c>
      <c r="Y61" s="70" t="s">
        <v>66</v>
      </c>
    </row>
    <row r="62" spans="1:25" ht="16.5" customHeight="1">
      <c r="A62" s="60" t="s">
        <v>67</v>
      </c>
      <c r="B62" s="61"/>
      <c r="C62" s="61"/>
      <c r="D62" s="61"/>
      <c r="E62" s="61"/>
      <c r="F62" s="61"/>
      <c r="G62" s="61"/>
      <c r="H62" s="62" t="str">
        <f>IF(B62="","",((E62*B62+F62*C62)/SUM(B62:C62)))</f>
        <v/>
      </c>
      <c r="I62" s="4"/>
      <c r="J62" s="60" t="s">
        <v>67</v>
      </c>
      <c r="K62" s="61"/>
      <c r="L62" s="61"/>
      <c r="M62" s="61"/>
      <c r="N62" s="61"/>
      <c r="O62" s="61"/>
      <c r="P62" s="61"/>
      <c r="R62" s="22" t="str">
        <f t="shared" si="0"/>
        <v>20/21</v>
      </c>
      <c r="S62" s="69" t="str">
        <f t="shared" si="4"/>
        <v>'0685</v>
      </c>
      <c r="T62" s="49">
        <v>7006</v>
      </c>
      <c r="U62" s="49"/>
      <c r="V62" s="24"/>
      <c r="W62" s="24"/>
      <c r="X62" s="23">
        <f>N62</f>
        <v>0</v>
      </c>
      <c r="Y62" s="74" t="s">
        <v>68</v>
      </c>
    </row>
    <row r="63" spans="1:25" ht="16.5" customHeight="1">
      <c r="A63" s="60" t="s">
        <v>69</v>
      </c>
      <c r="B63" s="61"/>
      <c r="C63" s="61"/>
      <c r="D63" s="36"/>
      <c r="E63" s="61"/>
      <c r="F63" s="61"/>
      <c r="G63" s="64"/>
      <c r="H63" s="62" t="str">
        <f>IF(B63="","",((E63*B63+F63*C63)/SUM(B63:C63)))</f>
        <v/>
      </c>
      <c r="I63" s="4"/>
      <c r="J63" s="60" t="s">
        <v>69</v>
      </c>
      <c r="K63" s="61"/>
      <c r="L63" s="61"/>
      <c r="M63" s="65"/>
      <c r="N63" s="66"/>
      <c r="O63" s="66"/>
      <c r="P63" s="66"/>
      <c r="R63" s="22" t="str">
        <f t="shared" si="0"/>
        <v>20/21</v>
      </c>
      <c r="S63" s="69" t="str">
        <f t="shared" si="4"/>
        <v>'0685</v>
      </c>
      <c r="T63" s="49">
        <v>7007</v>
      </c>
      <c r="U63" s="49"/>
      <c r="V63" s="24"/>
      <c r="W63" s="24"/>
      <c r="X63" s="23">
        <f>O62</f>
        <v>0</v>
      </c>
      <c r="Y63" s="74" t="s">
        <v>70</v>
      </c>
    </row>
    <row r="64" spans="1:25" ht="18" customHeight="1">
      <c r="A64" s="37" t="s">
        <v>71</v>
      </c>
      <c r="B64" s="67">
        <f>IF(B56="","",(B63+B62)/B56)</f>
        <v>0</v>
      </c>
      <c r="C64" s="67">
        <f>IF(B56="","",(C63+C62)/B56)</f>
        <v>0</v>
      </c>
      <c r="D64" s="67">
        <f>IF(B56="","",(D63+D62)/B56)</f>
        <v>0</v>
      </c>
      <c r="E64" s="195" t="str">
        <f>IF(B56="","",IF(B64+C64+D64&gt;Bovinos!$AD$5," -&gt; índices (somados) acima da média",IF(B64+C64+D64&lt;Bovinos!$AD$4," -&gt; índices (somados) abaixo da média","")))</f>
        <v xml:space="preserve"> -&gt; índices (somados) abaixo da média</v>
      </c>
      <c r="F64" s="195"/>
      <c r="G64" s="195"/>
      <c r="H64" s="195"/>
      <c r="I64" s="4"/>
      <c r="J64" s="37" t="s">
        <v>71</v>
      </c>
      <c r="K64" s="68">
        <f>IF(B56="","-",(K63+K62)/B56)</f>
        <v>0</v>
      </c>
      <c r="L64" s="68">
        <f>IF(B56="","-",(L63+L62)/B56)</f>
        <v>0</v>
      </c>
      <c r="M64" s="68">
        <f>IF(B56="","-",(M63+M62+O62+N62+P62)/B56)</f>
        <v>0</v>
      </c>
      <c r="N64" s="195" t="str">
        <f>IF(AND(K64="-",L64="-",M64="-"),"",IF(K64&gt;Bovinos!$AA$5," -&gt; índice(s) fora da faixa média",IF(K64&lt;Bovinos!$AA$4," -&gt; índice(s) fora da faixa média",IF(L64&gt;Bovinos!$AB$5," -&gt; índice(s) fora da faixa média",IF(L64&lt;Bovinos!$AB$4," -&gt; índice(s) fora da faixa média",IF(M64&gt;Bovinos!$AC$5," -&gt; índice(s) fora da faixa média",IF(M64&lt;Bovinos!$AC$4," -&gt; índice(s) fora da faixa média","")))))))</f>
        <v xml:space="preserve"> -&gt; índice(s) fora da faixa média</v>
      </c>
      <c r="O64" s="195"/>
      <c r="P64" s="195"/>
      <c r="R64" s="22" t="str">
        <f t="shared" si="0"/>
        <v>20/21</v>
      </c>
      <c r="S64" s="69" t="str">
        <f t="shared" si="4"/>
        <v>'0685</v>
      </c>
      <c r="T64" s="49">
        <v>7008</v>
      </c>
      <c r="U64" s="49"/>
      <c r="V64" s="24"/>
      <c r="W64" s="24"/>
      <c r="X64" s="23">
        <f>P62</f>
        <v>0</v>
      </c>
      <c r="Y64" s="74" t="s">
        <v>72</v>
      </c>
    </row>
    <row r="65" spans="1:25" ht="7.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R65" s="22" t="str">
        <f t="shared" si="0"/>
        <v>20/21</v>
      </c>
      <c r="S65" s="69" t="str">
        <f t="shared" si="4"/>
        <v>'0685</v>
      </c>
      <c r="T65" s="23" t="s">
        <v>73</v>
      </c>
      <c r="U65" s="23"/>
      <c r="V65" s="24"/>
      <c r="W65" s="18"/>
      <c r="X65" s="23">
        <f>+M62</f>
        <v>0</v>
      </c>
      <c r="Y65" s="70" t="s">
        <v>74</v>
      </c>
    </row>
    <row r="66" spans="1:25" ht="7.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R66" s="22" t="str">
        <f t="shared" si="0"/>
        <v>20/21</v>
      </c>
      <c r="S66" s="69" t="str">
        <f t="shared" si="4"/>
        <v>'0685</v>
      </c>
      <c r="T66" s="23" t="s">
        <v>75</v>
      </c>
      <c r="U66" s="23">
        <f>+H56</f>
        <v>0</v>
      </c>
      <c r="V66" s="24"/>
      <c r="W66" s="18"/>
      <c r="X66" s="23"/>
      <c r="Y66" s="70" t="s">
        <v>76</v>
      </c>
    </row>
    <row r="67" spans="1:25" ht="16.5" customHeight="1">
      <c r="A67" s="20" t="s">
        <v>19</v>
      </c>
      <c r="B67" s="20" t="s">
        <v>83</v>
      </c>
      <c r="C67" s="20" t="s">
        <v>84</v>
      </c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R67" s="22" t="str">
        <f t="shared" si="0"/>
        <v>20/21</v>
      </c>
      <c r="S67" s="4" t="str">
        <f>+B67</f>
        <v>'0760</v>
      </c>
      <c r="T67" s="23">
        <v>7014</v>
      </c>
      <c r="U67" s="23"/>
      <c r="V67" s="24">
        <f>J71</f>
        <v>0</v>
      </c>
      <c r="W67" s="24"/>
      <c r="X67" s="24"/>
      <c r="Y67" s="25" t="s">
        <v>22</v>
      </c>
    </row>
    <row r="68" spans="1:25" ht="6" customHeight="1">
      <c r="A68" s="26"/>
      <c r="B68" s="27"/>
      <c r="C68" s="28"/>
      <c r="D68" s="28"/>
      <c r="E68" s="28"/>
      <c r="F68" s="28"/>
      <c r="G68" s="4"/>
      <c r="H68" s="4"/>
      <c r="I68" s="29"/>
      <c r="J68" s="4"/>
      <c r="K68" s="4"/>
      <c r="L68" s="71"/>
      <c r="M68" s="4"/>
      <c r="N68" s="4"/>
      <c r="O68" s="4"/>
      <c r="P68" s="4"/>
      <c r="R68" s="22" t="str">
        <f t="shared" si="0"/>
        <v>20/21</v>
      </c>
      <c r="S68" s="4" t="str">
        <f t="shared" ref="S68:S81" si="5">+S67</f>
        <v>'0760</v>
      </c>
      <c r="T68" s="24"/>
      <c r="U68" s="24"/>
      <c r="V68" s="32">
        <f>M71</f>
        <v>0</v>
      </c>
      <c r="W68" s="24"/>
      <c r="X68" s="24"/>
      <c r="Y68" s="24" t="s">
        <v>23</v>
      </c>
    </row>
    <row r="69" spans="1:25" ht="11.25" customHeight="1">
      <c r="A69" s="36"/>
      <c r="B69" s="200" t="s">
        <v>27</v>
      </c>
      <c r="C69" s="205" t="s">
        <v>28</v>
      </c>
      <c r="D69" s="205"/>
      <c r="E69" s="205" t="s">
        <v>29</v>
      </c>
      <c r="F69" s="205"/>
      <c r="G69" s="36"/>
      <c r="H69" s="205" t="s">
        <v>30</v>
      </c>
      <c r="I69" s="4"/>
      <c r="J69" s="206" t="s">
        <v>31</v>
      </c>
      <c r="K69" s="207"/>
      <c r="L69" s="202"/>
      <c r="M69" s="208"/>
      <c r="N69" s="38"/>
      <c r="O69" s="4"/>
      <c r="P69" s="206" t="s">
        <v>32</v>
      </c>
      <c r="R69" s="22" t="str">
        <f t="shared" si="0"/>
        <v>20/21</v>
      </c>
      <c r="S69" s="4" t="str">
        <f t="shared" si="5"/>
        <v>'0760</v>
      </c>
      <c r="T69" s="23" t="s">
        <v>33</v>
      </c>
      <c r="U69" s="23"/>
      <c r="V69" s="23">
        <f>+B71</f>
        <v>34831</v>
      </c>
      <c r="W69" s="39" t="str">
        <f>+H77</f>
        <v/>
      </c>
      <c r="X69" s="23">
        <f>B77+C77</f>
        <v>0</v>
      </c>
      <c r="Y69" s="25" t="s">
        <v>34</v>
      </c>
    </row>
    <row r="70" spans="1:25" ht="12" customHeight="1">
      <c r="A70" s="36"/>
      <c r="B70" s="200"/>
      <c r="C70" s="40" t="s">
        <v>36</v>
      </c>
      <c r="D70" s="40" t="s">
        <v>37</v>
      </c>
      <c r="E70" s="40" t="s">
        <v>36</v>
      </c>
      <c r="F70" s="40" t="s">
        <v>37</v>
      </c>
      <c r="G70" s="36"/>
      <c r="H70" s="205"/>
      <c r="I70" s="4"/>
      <c r="J70" s="206"/>
      <c r="K70" s="207"/>
      <c r="L70" s="202"/>
      <c r="M70" s="208"/>
      <c r="N70" s="38"/>
      <c r="O70" s="4"/>
      <c r="P70" s="206"/>
      <c r="R70" s="22" t="str">
        <f t="shared" si="0"/>
        <v>20/21</v>
      </c>
      <c r="S70" s="4" t="str">
        <f t="shared" si="5"/>
        <v>'0760</v>
      </c>
      <c r="T70" s="23" t="s">
        <v>38</v>
      </c>
      <c r="U70" s="23"/>
      <c r="V70" s="41"/>
      <c r="W70" s="39" t="str">
        <f>H78</f>
        <v/>
      </c>
      <c r="X70" s="23">
        <f>B78+C78</f>
        <v>0</v>
      </c>
      <c r="Y70" s="25" t="s">
        <v>39</v>
      </c>
    </row>
    <row r="71" spans="1:25" ht="16.5" customHeight="1">
      <c r="A71" s="200" t="s">
        <v>40</v>
      </c>
      <c r="B71" s="201">
        <v>34831</v>
      </c>
      <c r="C71" s="42"/>
      <c r="D71" s="42"/>
      <c r="E71" s="42"/>
      <c r="F71" s="42"/>
      <c r="G71" s="43" t="str">
        <f>IF(SUM(C72:F72)=0,"",IF(SUM(C71:F71)&lt;1,"&lt;100%",IF(SUM(C71:F71)&gt;1,"&gt;100%","OK")))</f>
        <v/>
      </c>
      <c r="H71" s="44"/>
      <c r="I71" s="4"/>
      <c r="J71" s="76">
        <f>'Leite - Produção'!S14</f>
        <v>0</v>
      </c>
      <c r="K71" s="46"/>
      <c r="L71" s="202"/>
      <c r="M71" s="47"/>
      <c r="N71" s="31"/>
      <c r="O71" s="4"/>
      <c r="P71" s="48" t="e">
        <f>SUM(F72+D72)/H71</f>
        <v>#DIV/0!</v>
      </c>
      <c r="R71" s="22" t="str">
        <f t="shared" ref="R71:R134" si="6">+$S$5</f>
        <v>20/21</v>
      </c>
      <c r="S71" s="4" t="str">
        <f t="shared" si="5"/>
        <v>'0760</v>
      </c>
      <c r="T71" s="49">
        <v>7590</v>
      </c>
      <c r="U71" s="49"/>
      <c r="V71" s="41"/>
      <c r="W71" s="50">
        <f>+G77</f>
        <v>0</v>
      </c>
      <c r="X71" s="23">
        <f>D77</f>
        <v>0</v>
      </c>
      <c r="Y71" s="51" t="s">
        <v>41</v>
      </c>
    </row>
    <row r="72" spans="1:25" ht="16.5" customHeight="1">
      <c r="A72" s="200"/>
      <c r="B72" s="201"/>
      <c r="C72" s="77">
        <f>+C71*B71</f>
        <v>0</v>
      </c>
      <c r="D72" s="77">
        <f>+D71*B71</f>
        <v>0</v>
      </c>
      <c r="E72" s="77">
        <f>+E71*B71</f>
        <v>0</v>
      </c>
      <c r="F72" s="77">
        <f>+F71*B71</f>
        <v>0</v>
      </c>
      <c r="G72" s="36"/>
      <c r="H72" s="36"/>
      <c r="I72" s="4"/>
      <c r="J72" s="36"/>
      <c r="K72" s="53"/>
      <c r="L72" s="202"/>
      <c r="M72" s="31"/>
      <c r="N72" s="31"/>
      <c r="O72" s="36"/>
      <c r="P72" s="36"/>
      <c r="R72" s="22" t="str">
        <f t="shared" si="6"/>
        <v>20/21</v>
      </c>
      <c r="S72" s="4" t="str">
        <f t="shared" si="5"/>
        <v>'0760</v>
      </c>
      <c r="T72" s="23" t="s">
        <v>42</v>
      </c>
      <c r="U72" s="23"/>
      <c r="V72" s="41"/>
      <c r="W72" s="41"/>
      <c r="X72" s="23">
        <f>K77</f>
        <v>0</v>
      </c>
      <c r="Y72" s="25" t="s">
        <v>43</v>
      </c>
    </row>
    <row r="73" spans="1:25" ht="4.5" customHeight="1">
      <c r="A73" s="55"/>
      <c r="B73" s="56"/>
      <c r="C73" s="78"/>
      <c r="D73" s="78"/>
      <c r="E73" s="78"/>
      <c r="F73" s="78"/>
      <c r="G73" s="78"/>
      <c r="H73" s="36"/>
      <c r="I73" s="29"/>
      <c r="J73" s="36"/>
      <c r="K73" s="36"/>
      <c r="L73" s="75"/>
      <c r="M73" s="36"/>
      <c r="N73" s="36"/>
      <c r="O73" s="36"/>
      <c r="P73" s="36"/>
      <c r="R73" s="22" t="str">
        <f t="shared" si="6"/>
        <v>20/21</v>
      </c>
      <c r="S73" s="4" t="str">
        <f t="shared" si="5"/>
        <v>'0760</v>
      </c>
      <c r="T73" s="23" t="s">
        <v>44</v>
      </c>
      <c r="U73" s="23"/>
      <c r="V73" s="41"/>
      <c r="W73" s="41"/>
      <c r="X73" s="23">
        <f>K78</f>
        <v>0</v>
      </c>
      <c r="Y73" s="25" t="s">
        <v>45</v>
      </c>
    </row>
    <row r="74" spans="1:25" ht="16.5" customHeight="1">
      <c r="A74" s="203" t="s">
        <v>46</v>
      </c>
      <c r="B74" s="204" t="s">
        <v>47</v>
      </c>
      <c r="C74" s="204"/>
      <c r="D74" s="204"/>
      <c r="E74" s="204" t="s">
        <v>48</v>
      </c>
      <c r="F74" s="204"/>
      <c r="G74" s="204"/>
      <c r="H74" s="205" t="s">
        <v>49</v>
      </c>
      <c r="I74" s="4"/>
      <c r="J74" s="203" t="s">
        <v>46</v>
      </c>
      <c r="K74" s="204" t="s">
        <v>50</v>
      </c>
      <c r="L74" s="204"/>
      <c r="M74" s="204"/>
      <c r="N74" s="197"/>
      <c r="O74" s="197"/>
      <c r="P74" s="197"/>
      <c r="R74" s="22" t="str">
        <f t="shared" si="6"/>
        <v>20/21</v>
      </c>
      <c r="S74" s="4" t="str">
        <f t="shared" si="5"/>
        <v>'0760</v>
      </c>
      <c r="T74" s="23" t="s">
        <v>52</v>
      </c>
      <c r="U74" s="23"/>
      <c r="V74" s="41"/>
      <c r="W74" s="41"/>
      <c r="X74" s="23">
        <f>L77</f>
        <v>0</v>
      </c>
      <c r="Y74" s="25" t="s">
        <v>53</v>
      </c>
    </row>
    <row r="75" spans="1:25" ht="16.5" customHeight="1">
      <c r="A75" s="203"/>
      <c r="B75" s="198" t="s">
        <v>54</v>
      </c>
      <c r="C75" s="198" t="s">
        <v>55</v>
      </c>
      <c r="D75" s="198" t="s">
        <v>56</v>
      </c>
      <c r="E75" s="198" t="s">
        <v>54</v>
      </c>
      <c r="F75" s="198" t="s">
        <v>55</v>
      </c>
      <c r="G75" s="198" t="s">
        <v>56</v>
      </c>
      <c r="H75" s="205"/>
      <c r="I75" s="4"/>
      <c r="J75" s="203"/>
      <c r="K75" s="199" t="s">
        <v>57</v>
      </c>
      <c r="L75" s="199" t="s">
        <v>58</v>
      </c>
      <c r="M75" s="199" t="s">
        <v>59</v>
      </c>
      <c r="N75" s="197"/>
      <c r="O75" s="197"/>
      <c r="P75" s="197"/>
      <c r="R75" s="22" t="str">
        <f t="shared" si="6"/>
        <v>20/21</v>
      </c>
      <c r="S75" s="4" t="str">
        <f t="shared" si="5"/>
        <v>'0760</v>
      </c>
      <c r="T75" s="23" t="s">
        <v>60</v>
      </c>
      <c r="U75" s="23"/>
      <c r="V75" s="24"/>
      <c r="W75" s="24"/>
      <c r="X75" s="23">
        <f>+L78</f>
        <v>0</v>
      </c>
      <c r="Y75" s="25" t="s">
        <v>61</v>
      </c>
    </row>
    <row r="76" spans="1:25" ht="18" customHeight="1">
      <c r="A76" s="203"/>
      <c r="B76" s="198"/>
      <c r="C76" s="198"/>
      <c r="D76" s="198"/>
      <c r="E76" s="198"/>
      <c r="F76" s="198"/>
      <c r="G76" s="198"/>
      <c r="H76" s="205"/>
      <c r="I76" s="4"/>
      <c r="J76" s="203"/>
      <c r="K76" s="199"/>
      <c r="L76" s="199"/>
      <c r="M76" s="199"/>
      <c r="N76" s="60"/>
      <c r="O76" s="60"/>
      <c r="P76" s="60"/>
      <c r="R76" s="22" t="str">
        <f t="shared" si="6"/>
        <v>20/21</v>
      </c>
      <c r="S76" s="4" t="str">
        <f t="shared" si="5"/>
        <v>'0760</v>
      </c>
      <c r="T76" s="23" t="s">
        <v>65</v>
      </c>
      <c r="U76" s="23"/>
      <c r="V76" s="24"/>
      <c r="W76" s="24"/>
      <c r="X76" s="23">
        <f>+M78</f>
        <v>0</v>
      </c>
      <c r="Y76" s="25" t="s">
        <v>66</v>
      </c>
    </row>
    <row r="77" spans="1:25" ht="16.5" customHeight="1">
      <c r="A77" s="60" t="s">
        <v>67</v>
      </c>
      <c r="B77" s="61"/>
      <c r="C77" s="61"/>
      <c r="D77" s="61"/>
      <c r="E77" s="61"/>
      <c r="F77" s="61"/>
      <c r="G77" s="61"/>
      <c r="H77" s="62" t="str">
        <f>IF(B77="","",((E77*B77+F77*C77)/SUM(B77:C77)))</f>
        <v/>
      </c>
      <c r="I77" s="4"/>
      <c r="J77" s="60" t="s">
        <v>67</v>
      </c>
      <c r="K77" s="61"/>
      <c r="L77" s="61"/>
      <c r="M77" s="61"/>
      <c r="N77" s="61"/>
      <c r="O77" s="61"/>
      <c r="P77" s="61"/>
      <c r="R77" s="22" t="str">
        <f t="shared" si="6"/>
        <v>20/21</v>
      </c>
      <c r="S77" s="4" t="str">
        <f t="shared" si="5"/>
        <v>'0760</v>
      </c>
      <c r="T77" s="49">
        <v>7006</v>
      </c>
      <c r="U77" s="49"/>
      <c r="V77" s="24"/>
      <c r="W77" s="24"/>
      <c r="X77" s="23">
        <f>N77</f>
        <v>0</v>
      </c>
      <c r="Y77" s="51" t="s">
        <v>68</v>
      </c>
    </row>
    <row r="78" spans="1:25" ht="16.5" customHeight="1">
      <c r="A78" s="60" t="s">
        <v>69</v>
      </c>
      <c r="B78" s="61"/>
      <c r="C78" s="61"/>
      <c r="D78" s="36"/>
      <c r="E78" s="61"/>
      <c r="F78" s="61"/>
      <c r="G78" s="64"/>
      <c r="H78" s="62" t="str">
        <f>IF(B78="","",((E78*B78+F78*C78)/SUM(B78:C78)))</f>
        <v/>
      </c>
      <c r="I78" s="4"/>
      <c r="J78" s="60" t="s">
        <v>69</v>
      </c>
      <c r="K78" s="61"/>
      <c r="L78" s="61"/>
      <c r="M78" s="65"/>
      <c r="N78" s="66"/>
      <c r="O78" s="66"/>
      <c r="P78" s="66"/>
      <c r="R78" s="22" t="str">
        <f t="shared" si="6"/>
        <v>20/21</v>
      </c>
      <c r="S78" s="4" t="str">
        <f t="shared" si="5"/>
        <v>'0760</v>
      </c>
      <c r="T78" s="49">
        <v>7007</v>
      </c>
      <c r="U78" s="49"/>
      <c r="V78" s="24"/>
      <c r="W78" s="24"/>
      <c r="X78" s="23">
        <f>O77</f>
        <v>0</v>
      </c>
      <c r="Y78" s="51" t="s">
        <v>70</v>
      </c>
    </row>
    <row r="79" spans="1:25" ht="18" customHeight="1">
      <c r="A79" s="37" t="s">
        <v>71</v>
      </c>
      <c r="B79" s="79">
        <f>IF(B71="","",(B78+B77)/B71)</f>
        <v>0</v>
      </c>
      <c r="C79" s="79">
        <f>IF(B71="","",(C78+C77)/B71)</f>
        <v>0</v>
      </c>
      <c r="D79" s="79">
        <f>IF(B71="","",(D78+D77)/B71)</f>
        <v>0</v>
      </c>
      <c r="E79" s="195" t="str">
        <f>IF(B71="","",IF(B79+C79+D79&gt;[1]Bovinos!$AD$5," -&gt; índices (somados) acima da média",IF(B79+C79+D79&lt;[1]Bovinos!$AD$4," -&gt; índices (somados) abaixo da média","")))</f>
        <v xml:space="preserve"> -&gt; índices (somados) abaixo da média</v>
      </c>
      <c r="F79" s="195"/>
      <c r="G79" s="195"/>
      <c r="H79" s="195"/>
      <c r="I79" s="4"/>
      <c r="J79" s="37" t="s">
        <v>71</v>
      </c>
      <c r="K79" s="80">
        <f>IF(B71="","-",(K78+K77)/B71)</f>
        <v>0</v>
      </c>
      <c r="L79" s="80">
        <f>IF(B71="","-",(L78+L77)/B71)</f>
        <v>0</v>
      </c>
      <c r="M79" s="80">
        <f>IF(B71="","-",(M78+M77+O77+N77+P77)/B71)</f>
        <v>0</v>
      </c>
      <c r="N79" s="196"/>
      <c r="O79" s="196"/>
      <c r="P79" s="196"/>
      <c r="R79" s="22" t="str">
        <f t="shared" si="6"/>
        <v>20/21</v>
      </c>
      <c r="S79" s="4" t="str">
        <f t="shared" si="5"/>
        <v>'0760</v>
      </c>
      <c r="T79" s="49">
        <v>7008</v>
      </c>
      <c r="U79" s="49"/>
      <c r="V79" s="24"/>
      <c r="W79" s="24"/>
      <c r="X79" s="23">
        <f>P77</f>
        <v>0</v>
      </c>
      <c r="Y79" s="51" t="s">
        <v>72</v>
      </c>
    </row>
    <row r="80" spans="1:25" ht="7.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R80" s="22" t="str">
        <f t="shared" si="6"/>
        <v>20/21</v>
      </c>
      <c r="S80" s="4" t="str">
        <f t="shared" si="5"/>
        <v>'0760</v>
      </c>
      <c r="T80" s="23" t="s">
        <v>73</v>
      </c>
      <c r="U80" s="23"/>
      <c r="V80" s="24"/>
      <c r="W80" s="24"/>
      <c r="X80" s="23">
        <f>+M77</f>
        <v>0</v>
      </c>
      <c r="Y80" s="25" t="s">
        <v>74</v>
      </c>
    </row>
    <row r="81" spans="1:25" ht="7.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R81" s="22" t="str">
        <f t="shared" si="6"/>
        <v>20/21</v>
      </c>
      <c r="S81" s="4" t="str">
        <f t="shared" si="5"/>
        <v>'0760</v>
      </c>
      <c r="T81" s="23" t="s">
        <v>75</v>
      </c>
      <c r="U81" s="23">
        <f>+H71</f>
        <v>0</v>
      </c>
      <c r="V81" s="24"/>
      <c r="W81" s="24"/>
      <c r="X81" s="23"/>
      <c r="Y81" s="25" t="s">
        <v>76</v>
      </c>
    </row>
    <row r="82" spans="1:25" ht="16.5" customHeight="1">
      <c r="A82" s="20" t="s">
        <v>19</v>
      </c>
      <c r="B82" s="20" t="s">
        <v>85</v>
      </c>
      <c r="C82" s="20" t="s">
        <v>86</v>
      </c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R82" s="22" t="str">
        <f t="shared" si="6"/>
        <v>20/21</v>
      </c>
      <c r="S82" s="69" t="str">
        <f>+B82</f>
        <v>'0855</v>
      </c>
      <c r="T82" s="23">
        <v>7014</v>
      </c>
      <c r="U82" s="23"/>
      <c r="V82" s="24">
        <f>J86</f>
        <v>0</v>
      </c>
      <c r="W82" s="24"/>
      <c r="X82" s="24"/>
      <c r="Y82" s="70" t="s">
        <v>22</v>
      </c>
    </row>
    <row r="83" spans="1:25" ht="6" customHeight="1">
      <c r="A83" s="26"/>
      <c r="B83" s="27"/>
      <c r="C83" s="28"/>
      <c r="D83" s="28"/>
      <c r="E83" s="28"/>
      <c r="F83" s="28"/>
      <c r="G83" s="4"/>
      <c r="H83" s="4"/>
      <c r="I83" s="29"/>
      <c r="J83" s="4"/>
      <c r="K83" s="4"/>
      <c r="L83" s="71"/>
      <c r="M83" s="4"/>
      <c r="N83" s="4"/>
      <c r="O83" s="4"/>
      <c r="P83" s="4"/>
      <c r="R83" s="22" t="str">
        <f t="shared" si="6"/>
        <v>20/21</v>
      </c>
      <c r="S83" s="69" t="str">
        <f t="shared" ref="S83:S96" si="7">+S82</f>
        <v>'0855</v>
      </c>
      <c r="T83" s="24"/>
      <c r="U83" s="24"/>
      <c r="V83" s="32">
        <f>M86</f>
        <v>0</v>
      </c>
      <c r="W83" s="24"/>
      <c r="X83" s="24"/>
      <c r="Y83" s="72" t="s">
        <v>23</v>
      </c>
    </row>
    <row r="84" spans="1:25" ht="11.25" customHeight="1">
      <c r="A84" s="36"/>
      <c r="B84" s="200" t="s">
        <v>27</v>
      </c>
      <c r="C84" s="205" t="s">
        <v>28</v>
      </c>
      <c r="D84" s="205"/>
      <c r="E84" s="205" t="s">
        <v>29</v>
      </c>
      <c r="F84" s="205"/>
      <c r="G84" s="36"/>
      <c r="H84" s="205" t="s">
        <v>30</v>
      </c>
      <c r="I84" s="4"/>
      <c r="J84" s="206" t="s">
        <v>31</v>
      </c>
      <c r="K84" s="207"/>
      <c r="L84" s="202"/>
      <c r="M84" s="208"/>
      <c r="N84" s="38"/>
      <c r="O84" s="4"/>
      <c r="P84" s="206" t="s">
        <v>32</v>
      </c>
      <c r="R84" s="22" t="str">
        <f t="shared" si="6"/>
        <v>20/21</v>
      </c>
      <c r="S84" s="69" t="str">
        <f t="shared" si="7"/>
        <v>'0855</v>
      </c>
      <c r="T84" s="23" t="s">
        <v>33</v>
      </c>
      <c r="U84" s="23"/>
      <c r="V84" s="23">
        <f>+B86</f>
        <v>10624</v>
      </c>
      <c r="W84" s="39" t="str">
        <f>+H92</f>
        <v/>
      </c>
      <c r="X84" s="23">
        <f>B92+C92</f>
        <v>0</v>
      </c>
      <c r="Y84" s="70" t="s">
        <v>34</v>
      </c>
    </row>
    <row r="85" spans="1:25" ht="12" customHeight="1">
      <c r="A85" s="36"/>
      <c r="B85" s="200"/>
      <c r="C85" s="40" t="s">
        <v>36</v>
      </c>
      <c r="D85" s="40" t="s">
        <v>37</v>
      </c>
      <c r="E85" s="40" t="s">
        <v>36</v>
      </c>
      <c r="F85" s="40" t="s">
        <v>37</v>
      </c>
      <c r="G85" s="36"/>
      <c r="H85" s="205"/>
      <c r="I85" s="4"/>
      <c r="J85" s="206"/>
      <c r="K85" s="207"/>
      <c r="L85" s="202"/>
      <c r="M85" s="208"/>
      <c r="N85" s="38"/>
      <c r="O85" s="4"/>
      <c r="P85" s="206"/>
      <c r="R85" s="22" t="str">
        <f t="shared" si="6"/>
        <v>20/21</v>
      </c>
      <c r="S85" s="69" t="str">
        <f t="shared" si="7"/>
        <v>'0855</v>
      </c>
      <c r="T85" s="23" t="s">
        <v>38</v>
      </c>
      <c r="U85" s="23"/>
      <c r="V85" s="73"/>
      <c r="W85" s="39" t="str">
        <f>H93</f>
        <v/>
      </c>
      <c r="X85" s="23">
        <f>B93+C93</f>
        <v>0</v>
      </c>
      <c r="Y85" s="70" t="s">
        <v>39</v>
      </c>
    </row>
    <row r="86" spans="1:25" ht="16.5" customHeight="1">
      <c r="A86" s="200" t="s">
        <v>40</v>
      </c>
      <c r="B86" s="201">
        <v>10624</v>
      </c>
      <c r="C86" s="42"/>
      <c r="D86" s="42"/>
      <c r="E86" s="42"/>
      <c r="F86" s="42"/>
      <c r="G86" s="43" t="str">
        <f>IF(SUM(C87:F87)=0,"",IF(SUM(C86:F86)&lt;1,"&lt;100%",IF(SUM(C86:F86)&gt;1,"&gt;100%","OK")))</f>
        <v/>
      </c>
      <c r="H86" s="44"/>
      <c r="I86" s="4"/>
      <c r="J86" s="76">
        <f>'Leite - Produção'!S15</f>
        <v>0</v>
      </c>
      <c r="K86" s="46"/>
      <c r="L86" s="202"/>
      <c r="M86" s="47"/>
      <c r="N86" s="31"/>
      <c r="O86" s="4"/>
      <c r="P86" s="48" t="e">
        <f>SUM(F87+D87)/H86</f>
        <v>#DIV/0!</v>
      </c>
      <c r="R86" s="22" t="str">
        <f t="shared" si="6"/>
        <v>20/21</v>
      </c>
      <c r="S86" s="69" t="str">
        <f t="shared" si="7"/>
        <v>'0855</v>
      </c>
      <c r="T86" s="49">
        <v>7590</v>
      </c>
      <c r="U86" s="49"/>
      <c r="V86" s="73"/>
      <c r="W86" s="50">
        <f>+G92</f>
        <v>0</v>
      </c>
      <c r="X86" s="23">
        <f>D92</f>
        <v>0</v>
      </c>
      <c r="Y86" s="74" t="s">
        <v>41</v>
      </c>
    </row>
    <row r="87" spans="1:25" ht="16.5" customHeight="1">
      <c r="A87" s="200"/>
      <c r="B87" s="201"/>
      <c r="C87" s="77">
        <f>+C86*B86</f>
        <v>0</v>
      </c>
      <c r="D87" s="77">
        <f>+D86*B86</f>
        <v>0</v>
      </c>
      <c r="E87" s="77">
        <f>+E86*B86</f>
        <v>0</v>
      </c>
      <c r="F87" s="77">
        <f>+F86*B86</f>
        <v>0</v>
      </c>
      <c r="G87" s="36"/>
      <c r="H87" s="36"/>
      <c r="I87" s="4"/>
      <c r="J87" s="36"/>
      <c r="K87" s="53"/>
      <c r="L87" s="202"/>
      <c r="M87" s="31"/>
      <c r="N87" s="31"/>
      <c r="O87" s="36"/>
      <c r="P87" s="36"/>
      <c r="R87" s="22" t="str">
        <f t="shared" si="6"/>
        <v>20/21</v>
      </c>
      <c r="S87" s="69" t="str">
        <f t="shared" si="7"/>
        <v>'0855</v>
      </c>
      <c r="T87" s="23" t="s">
        <v>42</v>
      </c>
      <c r="U87" s="23"/>
      <c r="V87" s="73"/>
      <c r="W87" s="73"/>
      <c r="X87" s="23">
        <f>K92</f>
        <v>0</v>
      </c>
      <c r="Y87" s="70" t="s">
        <v>43</v>
      </c>
    </row>
    <row r="88" spans="1:25" ht="4.5" customHeight="1">
      <c r="A88" s="55"/>
      <c r="B88" s="56"/>
      <c r="C88" s="78"/>
      <c r="D88" s="78"/>
      <c r="E88" s="78"/>
      <c r="F88" s="78"/>
      <c r="G88" s="78"/>
      <c r="H88" s="36"/>
      <c r="I88" s="29"/>
      <c r="J88" s="36"/>
      <c r="K88" s="36"/>
      <c r="L88" s="75"/>
      <c r="M88" s="36"/>
      <c r="N88" s="36"/>
      <c r="O88" s="36"/>
      <c r="P88" s="36"/>
      <c r="R88" s="22" t="str">
        <f t="shared" si="6"/>
        <v>20/21</v>
      </c>
      <c r="S88" s="69" t="str">
        <f t="shared" si="7"/>
        <v>'0855</v>
      </c>
      <c r="T88" s="23" t="s">
        <v>44</v>
      </c>
      <c r="U88" s="23"/>
      <c r="V88" s="73"/>
      <c r="W88" s="73"/>
      <c r="X88" s="23">
        <f>K93</f>
        <v>0</v>
      </c>
      <c r="Y88" s="70" t="s">
        <v>45</v>
      </c>
    </row>
    <row r="89" spans="1:25" ht="16.5" customHeight="1">
      <c r="A89" s="203" t="s">
        <v>46</v>
      </c>
      <c r="B89" s="204" t="s">
        <v>47</v>
      </c>
      <c r="C89" s="204"/>
      <c r="D89" s="204"/>
      <c r="E89" s="204" t="s">
        <v>48</v>
      </c>
      <c r="F89" s="204"/>
      <c r="G89" s="204"/>
      <c r="H89" s="205" t="s">
        <v>49</v>
      </c>
      <c r="I89" s="4"/>
      <c r="J89" s="203" t="s">
        <v>46</v>
      </c>
      <c r="K89" s="204" t="s">
        <v>50</v>
      </c>
      <c r="L89" s="204"/>
      <c r="M89" s="204"/>
      <c r="N89" s="197"/>
      <c r="O89" s="197"/>
      <c r="P89" s="197"/>
      <c r="R89" s="22" t="str">
        <f t="shared" si="6"/>
        <v>20/21</v>
      </c>
      <c r="S89" s="69" t="str">
        <f t="shared" si="7"/>
        <v>'0855</v>
      </c>
      <c r="T89" s="23" t="s">
        <v>52</v>
      </c>
      <c r="U89" s="23"/>
      <c r="V89" s="73"/>
      <c r="W89" s="73"/>
      <c r="X89" s="23">
        <f>L92</f>
        <v>0</v>
      </c>
      <c r="Y89" s="70" t="s">
        <v>53</v>
      </c>
    </row>
    <row r="90" spans="1:25" ht="16.5" customHeight="1">
      <c r="A90" s="203"/>
      <c r="B90" s="198" t="s">
        <v>54</v>
      </c>
      <c r="C90" s="198" t="s">
        <v>55</v>
      </c>
      <c r="D90" s="198" t="s">
        <v>56</v>
      </c>
      <c r="E90" s="198" t="s">
        <v>54</v>
      </c>
      <c r="F90" s="198" t="s">
        <v>55</v>
      </c>
      <c r="G90" s="198" t="s">
        <v>56</v>
      </c>
      <c r="H90" s="205"/>
      <c r="I90" s="4"/>
      <c r="J90" s="203"/>
      <c r="K90" s="199" t="s">
        <v>57</v>
      </c>
      <c r="L90" s="199" t="s">
        <v>58</v>
      </c>
      <c r="M90" s="199" t="s">
        <v>59</v>
      </c>
      <c r="N90" s="197"/>
      <c r="O90" s="197"/>
      <c r="P90" s="197"/>
      <c r="R90" s="22" t="str">
        <f t="shared" si="6"/>
        <v>20/21</v>
      </c>
      <c r="S90" s="69" t="str">
        <f t="shared" si="7"/>
        <v>'0855</v>
      </c>
      <c r="T90" s="23" t="s">
        <v>60</v>
      </c>
      <c r="U90" s="23"/>
      <c r="V90" s="24"/>
      <c r="W90" s="24"/>
      <c r="X90" s="23">
        <f>+L93</f>
        <v>0</v>
      </c>
      <c r="Y90" s="70" t="s">
        <v>61</v>
      </c>
    </row>
    <row r="91" spans="1:25" ht="18" customHeight="1">
      <c r="A91" s="203"/>
      <c r="B91" s="198"/>
      <c r="C91" s="198"/>
      <c r="D91" s="198"/>
      <c r="E91" s="198"/>
      <c r="F91" s="198"/>
      <c r="G91" s="198"/>
      <c r="H91" s="205"/>
      <c r="I91" s="4"/>
      <c r="J91" s="203"/>
      <c r="K91" s="199"/>
      <c r="L91" s="199"/>
      <c r="M91" s="199"/>
      <c r="N91" s="60"/>
      <c r="O91" s="60"/>
      <c r="P91" s="60"/>
      <c r="R91" s="22" t="str">
        <f t="shared" si="6"/>
        <v>20/21</v>
      </c>
      <c r="S91" s="69" t="str">
        <f t="shared" si="7"/>
        <v>'0855</v>
      </c>
      <c r="T91" s="23" t="s">
        <v>65</v>
      </c>
      <c r="U91" s="23"/>
      <c r="V91" s="24"/>
      <c r="W91" s="24"/>
      <c r="X91" s="23">
        <f>+M93</f>
        <v>0</v>
      </c>
      <c r="Y91" s="70" t="s">
        <v>66</v>
      </c>
    </row>
    <row r="92" spans="1:25" ht="16.5" customHeight="1">
      <c r="A92" s="60" t="s">
        <v>67</v>
      </c>
      <c r="B92" s="61"/>
      <c r="C92" s="61"/>
      <c r="D92" s="61"/>
      <c r="E92" s="61"/>
      <c r="F92" s="61"/>
      <c r="G92" s="61"/>
      <c r="H92" s="62" t="str">
        <f>IF(B92="","",((E92*B92+F92*C92)/SUM(B92:C92)))</f>
        <v/>
      </c>
      <c r="I92" s="4"/>
      <c r="J92" s="60" t="s">
        <v>67</v>
      </c>
      <c r="K92" s="61"/>
      <c r="L92" s="61"/>
      <c r="M92" s="61"/>
      <c r="N92" s="61"/>
      <c r="O92" s="61"/>
      <c r="P92" s="61"/>
      <c r="R92" s="22" t="str">
        <f t="shared" si="6"/>
        <v>20/21</v>
      </c>
      <c r="S92" s="69" t="str">
        <f t="shared" si="7"/>
        <v>'0855</v>
      </c>
      <c r="T92" s="49">
        <v>7006</v>
      </c>
      <c r="U92" s="49"/>
      <c r="V92" s="24"/>
      <c r="W92" s="24"/>
      <c r="X92" s="23">
        <f>N92</f>
        <v>0</v>
      </c>
      <c r="Y92" s="74" t="s">
        <v>68</v>
      </c>
    </row>
    <row r="93" spans="1:25" ht="16.5" customHeight="1">
      <c r="A93" s="60" t="s">
        <v>69</v>
      </c>
      <c r="B93" s="61"/>
      <c r="C93" s="61"/>
      <c r="D93" s="36"/>
      <c r="E93" s="61"/>
      <c r="F93" s="61"/>
      <c r="G93" s="64"/>
      <c r="H93" s="62" t="str">
        <f>IF(B93="","",((E93*B93+F93*C93)/SUM(B93:C93)))</f>
        <v/>
      </c>
      <c r="I93" s="4"/>
      <c r="J93" s="60" t="s">
        <v>69</v>
      </c>
      <c r="K93" s="61"/>
      <c r="L93" s="61"/>
      <c r="M93" s="65"/>
      <c r="N93" s="66"/>
      <c r="O93" s="66"/>
      <c r="P93" s="66"/>
      <c r="R93" s="22" t="str">
        <f t="shared" si="6"/>
        <v>20/21</v>
      </c>
      <c r="S93" s="69" t="str">
        <f t="shared" si="7"/>
        <v>'0855</v>
      </c>
      <c r="T93" s="49">
        <v>7007</v>
      </c>
      <c r="U93" s="49"/>
      <c r="V93" s="24"/>
      <c r="W93" s="24"/>
      <c r="X93" s="23">
        <f>O92</f>
        <v>0</v>
      </c>
      <c r="Y93" s="74" t="s">
        <v>70</v>
      </c>
    </row>
    <row r="94" spans="1:25" ht="18" customHeight="1">
      <c r="A94" s="37" t="s">
        <v>71</v>
      </c>
      <c r="B94" s="79">
        <f>IF(B86="","",(B93+B92)/B86)</f>
        <v>0</v>
      </c>
      <c r="C94" s="79">
        <f>IF(B86="","",(C93+C92)/B86)</f>
        <v>0</v>
      </c>
      <c r="D94" s="79">
        <f>IF(B86="","",(D93+D92)/B86)</f>
        <v>0</v>
      </c>
      <c r="E94" s="195" t="str">
        <f>IF(B86="","",IF(B94+C94+D94&gt;[1]Bovinos!$AD$5," -&gt; índices (somados) acima da média",IF(B94+C94+D94&lt;[1]Bovinos!$AD$4," -&gt; índices (somados) abaixo da média","")))</f>
        <v xml:space="preserve"> -&gt; índices (somados) abaixo da média</v>
      </c>
      <c r="F94" s="195"/>
      <c r="G94" s="195"/>
      <c r="H94" s="195"/>
      <c r="I94" s="4"/>
      <c r="J94" s="37" t="s">
        <v>71</v>
      </c>
      <c r="K94" s="80">
        <f>IF(B86="","-",(K93+K92)/B86)</f>
        <v>0</v>
      </c>
      <c r="L94" s="80">
        <f>IF(B86="","-",(L93+L92)/B86)</f>
        <v>0</v>
      </c>
      <c r="M94" s="80">
        <f>IF(B86="","-",(M93+M92+O92+N92+P92)/B86)</f>
        <v>0</v>
      </c>
      <c r="N94" s="196"/>
      <c r="O94" s="196"/>
      <c r="P94" s="196"/>
      <c r="R94" s="22" t="str">
        <f t="shared" si="6"/>
        <v>20/21</v>
      </c>
      <c r="S94" s="69" t="str">
        <f t="shared" si="7"/>
        <v>'0855</v>
      </c>
      <c r="T94" s="49">
        <v>7008</v>
      </c>
      <c r="U94" s="49"/>
      <c r="V94" s="24"/>
      <c r="W94" s="24"/>
      <c r="X94" s="23">
        <f>P92</f>
        <v>0</v>
      </c>
      <c r="Y94" s="74" t="s">
        <v>72</v>
      </c>
    </row>
    <row r="95" spans="1:25" ht="7.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R95" s="22" t="str">
        <f t="shared" si="6"/>
        <v>20/21</v>
      </c>
      <c r="S95" s="69" t="str">
        <f t="shared" si="7"/>
        <v>'0855</v>
      </c>
      <c r="T95" s="23" t="s">
        <v>73</v>
      </c>
      <c r="U95" s="23"/>
      <c r="V95" s="24"/>
      <c r="W95" s="18"/>
      <c r="X95" s="23">
        <f>+M92</f>
        <v>0</v>
      </c>
      <c r="Y95" s="70" t="s">
        <v>74</v>
      </c>
    </row>
    <row r="96" spans="1:25" ht="7.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R96" s="22" t="str">
        <f t="shared" si="6"/>
        <v>20/21</v>
      </c>
      <c r="S96" s="69" t="str">
        <f t="shared" si="7"/>
        <v>'0855</v>
      </c>
      <c r="T96" s="23" t="s">
        <v>75</v>
      </c>
      <c r="U96" s="23">
        <f>+H86</f>
        <v>0</v>
      </c>
      <c r="V96" s="24"/>
      <c r="W96" s="18"/>
      <c r="X96" s="23"/>
      <c r="Y96" s="70" t="s">
        <v>76</v>
      </c>
    </row>
    <row r="97" spans="1:25" ht="16.5" customHeight="1">
      <c r="A97" s="20" t="s">
        <v>19</v>
      </c>
      <c r="B97" s="20" t="s">
        <v>87</v>
      </c>
      <c r="C97" s="20" t="s">
        <v>88</v>
      </c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R97" s="22" t="str">
        <f t="shared" si="6"/>
        <v>20/21</v>
      </c>
      <c r="S97" s="4" t="str">
        <f>+B97</f>
        <v>'0870</v>
      </c>
      <c r="T97" s="23">
        <v>7014</v>
      </c>
      <c r="U97" s="23"/>
      <c r="V97" s="24">
        <f>J101</f>
        <v>0</v>
      </c>
      <c r="W97" s="24"/>
      <c r="X97" s="24"/>
      <c r="Y97" s="25" t="s">
        <v>22</v>
      </c>
    </row>
    <row r="98" spans="1:25" ht="6" customHeight="1">
      <c r="A98" s="26"/>
      <c r="B98" s="27"/>
      <c r="C98" s="28"/>
      <c r="D98" s="28"/>
      <c r="E98" s="28"/>
      <c r="F98" s="28"/>
      <c r="G98" s="4"/>
      <c r="H98" s="4"/>
      <c r="I98" s="29"/>
      <c r="J98" s="4"/>
      <c r="K98" s="4"/>
      <c r="L98" s="71"/>
      <c r="M98" s="4"/>
      <c r="N98" s="4"/>
      <c r="O98" s="4"/>
      <c r="P98" s="4"/>
      <c r="R98" s="22" t="str">
        <f t="shared" si="6"/>
        <v>20/21</v>
      </c>
      <c r="S98" s="4" t="str">
        <f t="shared" ref="S98:S111" si="8">+S97</f>
        <v>'0870</v>
      </c>
      <c r="T98" s="24"/>
      <c r="U98" s="24"/>
      <c r="V98" s="32">
        <f>M101</f>
        <v>0</v>
      </c>
      <c r="W98" s="24"/>
      <c r="X98" s="24"/>
      <c r="Y98" s="24" t="s">
        <v>23</v>
      </c>
    </row>
    <row r="99" spans="1:25" ht="11.25" customHeight="1">
      <c r="A99" s="36"/>
      <c r="B99" s="200" t="s">
        <v>27</v>
      </c>
      <c r="C99" s="205" t="s">
        <v>28</v>
      </c>
      <c r="D99" s="205"/>
      <c r="E99" s="205" t="s">
        <v>29</v>
      </c>
      <c r="F99" s="205"/>
      <c r="G99" s="36"/>
      <c r="H99" s="205" t="s">
        <v>30</v>
      </c>
      <c r="I99" s="4"/>
      <c r="J99" s="206" t="s">
        <v>31</v>
      </c>
      <c r="K99" s="207"/>
      <c r="L99" s="202"/>
      <c r="M99" s="208"/>
      <c r="N99" s="38"/>
      <c r="O99" s="4"/>
      <c r="P99" s="206" t="s">
        <v>32</v>
      </c>
      <c r="R99" s="22" t="str">
        <f t="shared" si="6"/>
        <v>20/21</v>
      </c>
      <c r="S99" s="4" t="str">
        <f t="shared" si="8"/>
        <v>'0870</v>
      </c>
      <c r="T99" s="23" t="s">
        <v>33</v>
      </c>
      <c r="U99" s="23"/>
      <c r="V99" s="23">
        <f>+B101</f>
        <v>35656</v>
      </c>
      <c r="W99" s="39" t="str">
        <f>+H107</f>
        <v/>
      </c>
      <c r="X99" s="23">
        <f>B107+C107</f>
        <v>0</v>
      </c>
      <c r="Y99" s="25" t="s">
        <v>34</v>
      </c>
    </row>
    <row r="100" spans="1:25" ht="12" customHeight="1">
      <c r="A100" s="36"/>
      <c r="B100" s="200"/>
      <c r="C100" s="40" t="s">
        <v>36</v>
      </c>
      <c r="D100" s="40" t="s">
        <v>37</v>
      </c>
      <c r="E100" s="40" t="s">
        <v>36</v>
      </c>
      <c r="F100" s="40" t="s">
        <v>37</v>
      </c>
      <c r="G100" s="36"/>
      <c r="H100" s="205"/>
      <c r="I100" s="4"/>
      <c r="J100" s="206"/>
      <c r="K100" s="207"/>
      <c r="L100" s="202"/>
      <c r="M100" s="208"/>
      <c r="N100" s="38"/>
      <c r="O100" s="4"/>
      <c r="P100" s="206"/>
      <c r="R100" s="22" t="str">
        <f t="shared" si="6"/>
        <v>20/21</v>
      </c>
      <c r="S100" s="4" t="str">
        <f t="shared" si="8"/>
        <v>'0870</v>
      </c>
      <c r="T100" s="23" t="s">
        <v>38</v>
      </c>
      <c r="U100" s="23"/>
      <c r="V100" s="41"/>
      <c r="W100" s="39" t="str">
        <f>H108</f>
        <v/>
      </c>
      <c r="X100" s="23">
        <f>B108+C108</f>
        <v>0</v>
      </c>
      <c r="Y100" s="25" t="s">
        <v>39</v>
      </c>
    </row>
    <row r="101" spans="1:25" ht="16.5" customHeight="1">
      <c r="A101" s="200" t="s">
        <v>40</v>
      </c>
      <c r="B101" s="201">
        <v>35656</v>
      </c>
      <c r="C101" s="42"/>
      <c r="D101" s="42"/>
      <c r="E101" s="42"/>
      <c r="F101" s="42"/>
      <c r="G101" s="43" t="str">
        <f>IF(SUM(C102:F102)=0,"",IF(SUM(C101:F101)&lt;1,"&lt;100%",IF(SUM(C101:F101)&gt;1,"&gt;100%","OK")))</f>
        <v/>
      </c>
      <c r="H101" s="44"/>
      <c r="I101" s="4"/>
      <c r="J101" s="76">
        <f>'Leite - Produção'!S16</f>
        <v>0</v>
      </c>
      <c r="K101" s="46"/>
      <c r="L101" s="202"/>
      <c r="M101" s="47"/>
      <c r="N101" s="31"/>
      <c r="O101" s="4"/>
      <c r="P101" s="48" t="e">
        <f>SUM(F102+D102)/H101</f>
        <v>#DIV/0!</v>
      </c>
      <c r="R101" s="22" t="str">
        <f t="shared" si="6"/>
        <v>20/21</v>
      </c>
      <c r="S101" s="4" t="str">
        <f t="shared" si="8"/>
        <v>'0870</v>
      </c>
      <c r="T101" s="49">
        <v>7590</v>
      </c>
      <c r="U101" s="49"/>
      <c r="V101" s="41"/>
      <c r="W101" s="50">
        <f>+G107</f>
        <v>0</v>
      </c>
      <c r="X101" s="23">
        <f>D107</f>
        <v>0</v>
      </c>
      <c r="Y101" s="51" t="s">
        <v>41</v>
      </c>
    </row>
    <row r="102" spans="1:25" ht="16.5" customHeight="1">
      <c r="A102" s="200"/>
      <c r="B102" s="201"/>
      <c r="C102" s="77">
        <f>+C101*B101</f>
        <v>0</v>
      </c>
      <c r="D102" s="77">
        <f>+D101*B101</f>
        <v>0</v>
      </c>
      <c r="E102" s="77">
        <f>+E101*B101</f>
        <v>0</v>
      </c>
      <c r="F102" s="77">
        <f>+F101*B101</f>
        <v>0</v>
      </c>
      <c r="G102" s="36"/>
      <c r="H102" s="36"/>
      <c r="I102" s="4"/>
      <c r="J102" s="36"/>
      <c r="K102" s="53"/>
      <c r="L102" s="202"/>
      <c r="M102" s="31"/>
      <c r="N102" s="31"/>
      <c r="O102" s="36"/>
      <c r="P102" s="36"/>
      <c r="R102" s="22" t="str">
        <f t="shared" si="6"/>
        <v>20/21</v>
      </c>
      <c r="S102" s="4" t="str">
        <f t="shared" si="8"/>
        <v>'0870</v>
      </c>
      <c r="T102" s="23" t="s">
        <v>42</v>
      </c>
      <c r="U102" s="23"/>
      <c r="V102" s="41"/>
      <c r="W102" s="41"/>
      <c r="X102" s="23">
        <f>K107</f>
        <v>0</v>
      </c>
      <c r="Y102" s="25" t="s">
        <v>43</v>
      </c>
    </row>
    <row r="103" spans="1:25" ht="4.5" customHeight="1">
      <c r="A103" s="55"/>
      <c r="B103" s="56"/>
      <c r="C103" s="78"/>
      <c r="D103" s="78"/>
      <c r="E103" s="78"/>
      <c r="F103" s="78"/>
      <c r="G103" s="78"/>
      <c r="H103" s="36"/>
      <c r="I103" s="29"/>
      <c r="J103" s="36"/>
      <c r="K103" s="36"/>
      <c r="L103" s="75"/>
      <c r="M103" s="36"/>
      <c r="N103" s="36"/>
      <c r="O103" s="36"/>
      <c r="P103" s="36"/>
      <c r="R103" s="22" t="str">
        <f t="shared" si="6"/>
        <v>20/21</v>
      </c>
      <c r="S103" s="4" t="str">
        <f t="shared" si="8"/>
        <v>'0870</v>
      </c>
      <c r="T103" s="23" t="s">
        <v>44</v>
      </c>
      <c r="U103" s="23"/>
      <c r="V103" s="41"/>
      <c r="W103" s="41"/>
      <c r="X103" s="23">
        <f>K108</f>
        <v>0</v>
      </c>
      <c r="Y103" s="25" t="s">
        <v>45</v>
      </c>
    </row>
    <row r="104" spans="1:25" ht="16.5" customHeight="1">
      <c r="A104" s="203" t="s">
        <v>46</v>
      </c>
      <c r="B104" s="204" t="s">
        <v>47</v>
      </c>
      <c r="C104" s="204"/>
      <c r="D104" s="204"/>
      <c r="E104" s="204" t="s">
        <v>48</v>
      </c>
      <c r="F104" s="204"/>
      <c r="G104" s="204"/>
      <c r="H104" s="205" t="s">
        <v>49</v>
      </c>
      <c r="I104" s="4"/>
      <c r="J104" s="203" t="s">
        <v>46</v>
      </c>
      <c r="K104" s="204" t="s">
        <v>50</v>
      </c>
      <c r="L104" s="204"/>
      <c r="M104" s="204"/>
      <c r="N104" s="197"/>
      <c r="O104" s="197"/>
      <c r="P104" s="197"/>
      <c r="R104" s="22" t="str">
        <f t="shared" si="6"/>
        <v>20/21</v>
      </c>
      <c r="S104" s="4" t="str">
        <f t="shared" si="8"/>
        <v>'0870</v>
      </c>
      <c r="T104" s="23" t="s">
        <v>52</v>
      </c>
      <c r="U104" s="23"/>
      <c r="V104" s="41"/>
      <c r="W104" s="41"/>
      <c r="X104" s="23">
        <f>L107</f>
        <v>0</v>
      </c>
      <c r="Y104" s="25" t="s">
        <v>53</v>
      </c>
    </row>
    <row r="105" spans="1:25" ht="16.5" customHeight="1">
      <c r="A105" s="203"/>
      <c r="B105" s="198" t="s">
        <v>54</v>
      </c>
      <c r="C105" s="198" t="s">
        <v>55</v>
      </c>
      <c r="D105" s="198" t="s">
        <v>56</v>
      </c>
      <c r="E105" s="198" t="s">
        <v>54</v>
      </c>
      <c r="F105" s="198" t="s">
        <v>55</v>
      </c>
      <c r="G105" s="198" t="s">
        <v>56</v>
      </c>
      <c r="H105" s="205"/>
      <c r="I105" s="4"/>
      <c r="J105" s="203"/>
      <c r="K105" s="199" t="s">
        <v>57</v>
      </c>
      <c r="L105" s="199" t="s">
        <v>58</v>
      </c>
      <c r="M105" s="199" t="s">
        <v>59</v>
      </c>
      <c r="N105" s="197"/>
      <c r="O105" s="197"/>
      <c r="P105" s="197"/>
      <c r="R105" s="22" t="str">
        <f t="shared" si="6"/>
        <v>20/21</v>
      </c>
      <c r="S105" s="4" t="str">
        <f t="shared" si="8"/>
        <v>'0870</v>
      </c>
      <c r="T105" s="23" t="s">
        <v>60</v>
      </c>
      <c r="U105" s="23"/>
      <c r="V105" s="24"/>
      <c r="W105" s="24"/>
      <c r="X105" s="23">
        <f>+L108</f>
        <v>0</v>
      </c>
      <c r="Y105" s="25" t="s">
        <v>61</v>
      </c>
    </row>
    <row r="106" spans="1:25" ht="18" customHeight="1">
      <c r="A106" s="203"/>
      <c r="B106" s="198"/>
      <c r="C106" s="198"/>
      <c r="D106" s="198"/>
      <c r="E106" s="198"/>
      <c r="F106" s="198"/>
      <c r="G106" s="198"/>
      <c r="H106" s="205"/>
      <c r="I106" s="4"/>
      <c r="J106" s="203"/>
      <c r="K106" s="199"/>
      <c r="L106" s="199"/>
      <c r="M106" s="199"/>
      <c r="N106" s="60"/>
      <c r="O106" s="60"/>
      <c r="P106" s="60"/>
      <c r="R106" s="22" t="str">
        <f t="shared" si="6"/>
        <v>20/21</v>
      </c>
      <c r="S106" s="4" t="str">
        <f t="shared" si="8"/>
        <v>'0870</v>
      </c>
      <c r="T106" s="23" t="s">
        <v>65</v>
      </c>
      <c r="U106" s="23"/>
      <c r="V106" s="24"/>
      <c r="W106" s="24"/>
      <c r="X106" s="23">
        <f>+M108</f>
        <v>0</v>
      </c>
      <c r="Y106" s="25" t="s">
        <v>66</v>
      </c>
    </row>
    <row r="107" spans="1:25" ht="16.5" customHeight="1">
      <c r="A107" s="60" t="s">
        <v>67</v>
      </c>
      <c r="B107" s="61"/>
      <c r="C107" s="61"/>
      <c r="D107" s="61"/>
      <c r="E107" s="61"/>
      <c r="F107" s="61"/>
      <c r="G107" s="61"/>
      <c r="H107" s="62" t="str">
        <f>IF(B107="","",((E107*B107+F107*C107)/SUM(B107:C107)))</f>
        <v/>
      </c>
      <c r="I107" s="4"/>
      <c r="J107" s="60" t="s">
        <v>67</v>
      </c>
      <c r="K107" s="61"/>
      <c r="L107" s="61"/>
      <c r="M107" s="61"/>
      <c r="N107" s="61"/>
      <c r="O107" s="61"/>
      <c r="P107" s="61"/>
      <c r="R107" s="22" t="str">
        <f t="shared" si="6"/>
        <v>20/21</v>
      </c>
      <c r="S107" s="4" t="str">
        <f t="shared" si="8"/>
        <v>'0870</v>
      </c>
      <c r="T107" s="49">
        <v>7006</v>
      </c>
      <c r="U107" s="49"/>
      <c r="V107" s="24"/>
      <c r="W107" s="24"/>
      <c r="X107" s="23">
        <f>N107</f>
        <v>0</v>
      </c>
      <c r="Y107" s="51" t="s">
        <v>68</v>
      </c>
    </row>
    <row r="108" spans="1:25" ht="16.5" customHeight="1">
      <c r="A108" s="60" t="s">
        <v>69</v>
      </c>
      <c r="B108" s="61"/>
      <c r="C108" s="61"/>
      <c r="D108" s="36"/>
      <c r="E108" s="61"/>
      <c r="F108" s="61"/>
      <c r="G108" s="64"/>
      <c r="H108" s="62" t="str">
        <f>IF(B108="","",((E108*B108+F108*C108)/SUM(B108:C108)))</f>
        <v/>
      </c>
      <c r="I108" s="4"/>
      <c r="J108" s="60" t="s">
        <v>69</v>
      </c>
      <c r="K108" s="61"/>
      <c r="L108" s="61"/>
      <c r="M108" s="65"/>
      <c r="N108" s="66"/>
      <c r="O108" s="66"/>
      <c r="P108" s="66"/>
      <c r="R108" s="22" t="str">
        <f t="shared" si="6"/>
        <v>20/21</v>
      </c>
      <c r="S108" s="4" t="str">
        <f t="shared" si="8"/>
        <v>'0870</v>
      </c>
      <c r="T108" s="49">
        <v>7007</v>
      </c>
      <c r="U108" s="49"/>
      <c r="V108" s="24"/>
      <c r="W108" s="24"/>
      <c r="X108" s="23">
        <f>O107</f>
        <v>0</v>
      </c>
      <c r="Y108" s="51" t="s">
        <v>70</v>
      </c>
    </row>
    <row r="109" spans="1:25" ht="18" customHeight="1">
      <c r="A109" s="37" t="s">
        <v>71</v>
      </c>
      <c r="B109" s="79">
        <f>IF(B101="","",(B108+B107)/B101)</f>
        <v>0</v>
      </c>
      <c r="C109" s="79">
        <f>IF(B101="","",(C108+C107)/B101)</f>
        <v>0</v>
      </c>
      <c r="D109" s="79">
        <f>IF(B101="","",(D108+D107)/B101)</f>
        <v>0</v>
      </c>
      <c r="E109" s="195" t="str">
        <f>IF(B101="","",IF(B109+C109+D109&gt;[1]Bovinos!$AD$5," -&gt; índices (somados) acima da média",IF(B109+C109+D109&lt;[1]Bovinos!$AD$4," -&gt; índices (somados) abaixo da média","")))</f>
        <v xml:space="preserve"> -&gt; índices (somados) abaixo da média</v>
      </c>
      <c r="F109" s="195"/>
      <c r="G109" s="195"/>
      <c r="H109" s="195"/>
      <c r="I109" s="4"/>
      <c r="J109" s="37" t="s">
        <v>71</v>
      </c>
      <c r="K109" s="80">
        <f>IF(B101="","-",(K108+K107)/B101)</f>
        <v>0</v>
      </c>
      <c r="L109" s="80">
        <f>IF(B101="","-",(L108+L107)/B101)</f>
        <v>0</v>
      </c>
      <c r="M109" s="80">
        <f>IF(B101="","-",(M108+M107+O107+N107+P107)/B101)</f>
        <v>0</v>
      </c>
      <c r="N109" s="196"/>
      <c r="O109" s="196"/>
      <c r="P109" s="196"/>
      <c r="R109" s="22" t="str">
        <f t="shared" si="6"/>
        <v>20/21</v>
      </c>
      <c r="S109" s="4" t="str">
        <f t="shared" si="8"/>
        <v>'0870</v>
      </c>
      <c r="T109" s="49">
        <v>7008</v>
      </c>
      <c r="U109" s="49"/>
      <c r="V109" s="24"/>
      <c r="W109" s="24"/>
      <c r="X109" s="23">
        <f>P107</f>
        <v>0</v>
      </c>
      <c r="Y109" s="51" t="s">
        <v>72</v>
      </c>
    </row>
    <row r="110" spans="1:25" ht="7.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R110" s="22" t="str">
        <f t="shared" si="6"/>
        <v>20/21</v>
      </c>
      <c r="S110" s="4" t="str">
        <f t="shared" si="8"/>
        <v>'0870</v>
      </c>
      <c r="T110" s="23" t="s">
        <v>73</v>
      </c>
      <c r="U110" s="23"/>
      <c r="V110" s="24"/>
      <c r="W110" s="24"/>
      <c r="X110" s="23">
        <f>+M107</f>
        <v>0</v>
      </c>
      <c r="Y110" s="25" t="s">
        <v>74</v>
      </c>
    </row>
    <row r="111" spans="1:25" ht="7.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R111" s="22" t="str">
        <f t="shared" si="6"/>
        <v>20/21</v>
      </c>
      <c r="S111" s="4" t="str">
        <f t="shared" si="8"/>
        <v>'0870</v>
      </c>
      <c r="T111" s="23" t="s">
        <v>75</v>
      </c>
      <c r="U111" s="23">
        <f>+H101</f>
        <v>0</v>
      </c>
      <c r="V111" s="24"/>
      <c r="W111" s="24"/>
      <c r="X111" s="23"/>
      <c r="Y111" s="25" t="s">
        <v>76</v>
      </c>
    </row>
    <row r="112" spans="1:25" ht="16.5" customHeight="1">
      <c r="A112" s="20" t="s">
        <v>19</v>
      </c>
      <c r="B112" s="20" t="s">
        <v>89</v>
      </c>
      <c r="C112" s="21" t="s">
        <v>90</v>
      </c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R112" s="22" t="str">
        <f t="shared" si="6"/>
        <v>20/21</v>
      </c>
      <c r="S112" s="69" t="str">
        <f>+B112</f>
        <v>'1150</v>
      </c>
      <c r="T112" s="23">
        <v>7014</v>
      </c>
      <c r="U112" s="23"/>
      <c r="V112" s="24">
        <f>J116</f>
        <v>0</v>
      </c>
      <c r="W112" s="24"/>
      <c r="X112" s="24"/>
      <c r="Y112" s="70" t="s">
        <v>22</v>
      </c>
    </row>
    <row r="113" spans="1:25" ht="6" customHeight="1">
      <c r="A113" s="26"/>
      <c r="B113" s="27"/>
      <c r="C113" s="28"/>
      <c r="D113" s="28"/>
      <c r="E113" s="28"/>
      <c r="F113" s="28"/>
      <c r="G113" s="4"/>
      <c r="H113" s="4"/>
      <c r="I113" s="29"/>
      <c r="J113" s="4"/>
      <c r="K113" s="4"/>
      <c r="L113" s="71"/>
      <c r="M113" s="4"/>
      <c r="N113" s="4"/>
      <c r="O113" s="4"/>
      <c r="P113" s="4"/>
      <c r="R113" s="22" t="str">
        <f t="shared" si="6"/>
        <v>20/21</v>
      </c>
      <c r="S113" s="69" t="str">
        <f t="shared" ref="S113:S126" si="9">+S112</f>
        <v>'1150</v>
      </c>
      <c r="T113" s="24"/>
      <c r="U113" s="24"/>
      <c r="V113" s="32">
        <f>M116</f>
        <v>0</v>
      </c>
      <c r="W113" s="24"/>
      <c r="X113" s="24"/>
      <c r="Y113" s="72" t="s">
        <v>23</v>
      </c>
    </row>
    <row r="114" spans="1:25" ht="11.25" customHeight="1">
      <c r="A114" s="36"/>
      <c r="B114" s="200" t="s">
        <v>27</v>
      </c>
      <c r="C114" s="205" t="s">
        <v>28</v>
      </c>
      <c r="D114" s="205"/>
      <c r="E114" s="205" t="s">
        <v>29</v>
      </c>
      <c r="F114" s="205"/>
      <c r="G114" s="36"/>
      <c r="H114" s="205" t="s">
        <v>30</v>
      </c>
      <c r="I114" s="4"/>
      <c r="J114" s="206" t="s">
        <v>31</v>
      </c>
      <c r="K114" s="207"/>
      <c r="L114" s="202"/>
      <c r="M114" s="208"/>
      <c r="N114" s="38"/>
      <c r="O114" s="4"/>
      <c r="P114" s="206" t="s">
        <v>32</v>
      </c>
      <c r="R114" s="22" t="str">
        <f t="shared" si="6"/>
        <v>20/21</v>
      </c>
      <c r="S114" s="69" t="str">
        <f t="shared" si="9"/>
        <v>'1150</v>
      </c>
      <c r="T114" s="23" t="s">
        <v>33</v>
      </c>
      <c r="U114" s="23"/>
      <c r="V114" s="23">
        <f>+B116</f>
        <v>17417</v>
      </c>
      <c r="W114" s="39" t="str">
        <f>+H122</f>
        <v/>
      </c>
      <c r="X114" s="23">
        <f>B122+C122</f>
        <v>0</v>
      </c>
      <c r="Y114" s="70" t="s">
        <v>34</v>
      </c>
    </row>
    <row r="115" spans="1:25" ht="12" customHeight="1">
      <c r="A115" s="36"/>
      <c r="B115" s="200"/>
      <c r="C115" s="40" t="s">
        <v>36</v>
      </c>
      <c r="D115" s="40" t="s">
        <v>37</v>
      </c>
      <c r="E115" s="40" t="s">
        <v>36</v>
      </c>
      <c r="F115" s="40" t="s">
        <v>37</v>
      </c>
      <c r="G115" s="36"/>
      <c r="H115" s="205"/>
      <c r="I115" s="4"/>
      <c r="J115" s="206"/>
      <c r="K115" s="207"/>
      <c r="L115" s="202"/>
      <c r="M115" s="208"/>
      <c r="N115" s="38"/>
      <c r="O115" s="4"/>
      <c r="P115" s="206"/>
      <c r="R115" s="22" t="str">
        <f t="shared" si="6"/>
        <v>20/21</v>
      </c>
      <c r="S115" s="69" t="str">
        <f t="shared" si="9"/>
        <v>'1150</v>
      </c>
      <c r="T115" s="23" t="s">
        <v>38</v>
      </c>
      <c r="U115" s="23"/>
      <c r="V115" s="73"/>
      <c r="W115" s="39" t="str">
        <f>H123</f>
        <v/>
      </c>
      <c r="X115" s="23">
        <f>B123+C123</f>
        <v>0</v>
      </c>
      <c r="Y115" s="70" t="s">
        <v>39</v>
      </c>
    </row>
    <row r="116" spans="1:25" ht="16.5" customHeight="1">
      <c r="A116" s="200" t="s">
        <v>40</v>
      </c>
      <c r="B116" s="201">
        <v>17417</v>
      </c>
      <c r="C116" s="42"/>
      <c r="D116" s="42"/>
      <c r="E116" s="42"/>
      <c r="F116" s="42"/>
      <c r="G116" s="43" t="str">
        <f>IF(SUM(C117:F117)=0,"",IF(SUM(C116:F116)&lt;1,"&lt;100%",IF(SUM(C116:F116)&gt;1,"&gt;100%","OK")))</f>
        <v/>
      </c>
      <c r="H116" s="44"/>
      <c r="I116" s="4"/>
      <c r="J116" s="45">
        <f>'Leite - Produção'!S17</f>
        <v>0</v>
      </c>
      <c r="K116" s="46"/>
      <c r="L116" s="202"/>
      <c r="M116" s="47"/>
      <c r="N116" s="31"/>
      <c r="O116" s="4"/>
      <c r="P116" s="48" t="e">
        <f>SUM(F117+D117)/H116</f>
        <v>#DIV/0!</v>
      </c>
      <c r="R116" s="22" t="str">
        <f t="shared" si="6"/>
        <v>20/21</v>
      </c>
      <c r="S116" s="69" t="str">
        <f t="shared" si="9"/>
        <v>'1150</v>
      </c>
      <c r="T116" s="49">
        <v>7590</v>
      </c>
      <c r="U116" s="49"/>
      <c r="V116" s="73"/>
      <c r="W116" s="50">
        <f>+G122</f>
        <v>0</v>
      </c>
      <c r="X116" s="23">
        <f>D122</f>
        <v>0</v>
      </c>
      <c r="Y116" s="74" t="s">
        <v>41</v>
      </c>
    </row>
    <row r="117" spans="1:25" ht="16.5" customHeight="1">
      <c r="A117" s="200"/>
      <c r="B117" s="201"/>
      <c r="C117" s="52">
        <f>+C116*B116</f>
        <v>0</v>
      </c>
      <c r="D117" s="52">
        <f>+D116*B116</f>
        <v>0</v>
      </c>
      <c r="E117" s="52">
        <f>+E116*B116</f>
        <v>0</v>
      </c>
      <c r="F117" s="52">
        <f>+F116*B116</f>
        <v>0</v>
      </c>
      <c r="G117" s="36"/>
      <c r="H117" s="36"/>
      <c r="I117" s="4"/>
      <c r="J117" s="36"/>
      <c r="K117" s="53"/>
      <c r="L117" s="202"/>
      <c r="M117" s="31"/>
      <c r="N117" s="31"/>
      <c r="O117" s="36"/>
      <c r="P117" s="36"/>
      <c r="R117" s="22" t="str">
        <f t="shared" si="6"/>
        <v>20/21</v>
      </c>
      <c r="S117" s="69" t="str">
        <f t="shared" si="9"/>
        <v>'1150</v>
      </c>
      <c r="T117" s="23" t="s">
        <v>42</v>
      </c>
      <c r="U117" s="23"/>
      <c r="V117" s="73"/>
      <c r="W117" s="73"/>
      <c r="X117" s="23">
        <f>K122</f>
        <v>0</v>
      </c>
      <c r="Y117" s="70" t="s">
        <v>43</v>
      </c>
    </row>
    <row r="118" spans="1:25" ht="4.5" customHeight="1">
      <c r="A118" s="55"/>
      <c r="B118" s="56"/>
      <c r="C118" s="57"/>
      <c r="D118" s="57"/>
      <c r="E118" s="57"/>
      <c r="F118" s="57"/>
      <c r="G118" s="57"/>
      <c r="H118" s="36"/>
      <c r="I118" s="29"/>
      <c r="J118" s="36"/>
      <c r="K118" s="36"/>
      <c r="L118" s="75"/>
      <c r="M118" s="36"/>
      <c r="N118" s="36"/>
      <c r="O118" s="36"/>
      <c r="P118" s="36"/>
      <c r="R118" s="22" t="str">
        <f t="shared" si="6"/>
        <v>20/21</v>
      </c>
      <c r="S118" s="69" t="str">
        <f t="shared" si="9"/>
        <v>'1150</v>
      </c>
      <c r="T118" s="23" t="s">
        <v>44</v>
      </c>
      <c r="U118" s="23"/>
      <c r="V118" s="73"/>
      <c r="W118" s="73"/>
      <c r="X118" s="23">
        <f>K123</f>
        <v>0</v>
      </c>
      <c r="Y118" s="70" t="s">
        <v>45</v>
      </c>
    </row>
    <row r="119" spans="1:25" ht="16.5" customHeight="1">
      <c r="A119" s="203" t="s">
        <v>46</v>
      </c>
      <c r="B119" s="204" t="s">
        <v>47</v>
      </c>
      <c r="C119" s="204"/>
      <c r="D119" s="204"/>
      <c r="E119" s="204" t="s">
        <v>48</v>
      </c>
      <c r="F119" s="204"/>
      <c r="G119" s="204"/>
      <c r="H119" s="205" t="s">
        <v>49</v>
      </c>
      <c r="I119" s="4"/>
      <c r="J119" s="203" t="s">
        <v>46</v>
      </c>
      <c r="K119" s="204" t="s">
        <v>50</v>
      </c>
      <c r="L119" s="204"/>
      <c r="M119" s="204"/>
      <c r="N119" s="200" t="s">
        <v>51</v>
      </c>
      <c r="O119" s="200"/>
      <c r="P119" s="200"/>
      <c r="R119" s="22" t="str">
        <f t="shared" si="6"/>
        <v>20/21</v>
      </c>
      <c r="S119" s="69" t="str">
        <f t="shared" si="9"/>
        <v>'1150</v>
      </c>
      <c r="T119" s="23" t="s">
        <v>52</v>
      </c>
      <c r="U119" s="23"/>
      <c r="V119" s="73"/>
      <c r="W119" s="73"/>
      <c r="X119" s="23">
        <f>L122</f>
        <v>0</v>
      </c>
      <c r="Y119" s="70" t="s">
        <v>53</v>
      </c>
    </row>
    <row r="120" spans="1:25" ht="16.5" customHeight="1">
      <c r="A120" s="203"/>
      <c r="B120" s="198" t="s">
        <v>54</v>
      </c>
      <c r="C120" s="198" t="s">
        <v>55</v>
      </c>
      <c r="D120" s="198" t="s">
        <v>56</v>
      </c>
      <c r="E120" s="198" t="s">
        <v>54</v>
      </c>
      <c r="F120" s="198" t="s">
        <v>55</v>
      </c>
      <c r="G120" s="198" t="s">
        <v>56</v>
      </c>
      <c r="H120" s="205"/>
      <c r="I120" s="4"/>
      <c r="J120" s="203"/>
      <c r="K120" s="199" t="s">
        <v>57</v>
      </c>
      <c r="L120" s="199" t="s">
        <v>58</v>
      </c>
      <c r="M120" s="199" t="s">
        <v>59</v>
      </c>
      <c r="N120" s="200"/>
      <c r="O120" s="200"/>
      <c r="P120" s="200"/>
      <c r="R120" s="22" t="str">
        <f t="shared" si="6"/>
        <v>20/21</v>
      </c>
      <c r="S120" s="69" t="str">
        <f t="shared" si="9"/>
        <v>'1150</v>
      </c>
      <c r="T120" s="23" t="s">
        <v>60</v>
      </c>
      <c r="U120" s="23"/>
      <c r="V120" s="24"/>
      <c r="W120" s="24"/>
      <c r="X120" s="23">
        <f>+L123</f>
        <v>0</v>
      </c>
      <c r="Y120" s="70" t="s">
        <v>61</v>
      </c>
    </row>
    <row r="121" spans="1:25" ht="18" customHeight="1">
      <c r="A121" s="203"/>
      <c r="B121" s="198"/>
      <c r="C121" s="198"/>
      <c r="D121" s="198"/>
      <c r="E121" s="198"/>
      <c r="F121" s="198"/>
      <c r="G121" s="198"/>
      <c r="H121" s="205"/>
      <c r="I121" s="4"/>
      <c r="J121" s="203"/>
      <c r="K121" s="199"/>
      <c r="L121" s="199"/>
      <c r="M121" s="199"/>
      <c r="N121" s="60" t="s">
        <v>62</v>
      </c>
      <c r="O121" s="60" t="s">
        <v>63</v>
      </c>
      <c r="P121" s="60" t="s">
        <v>64</v>
      </c>
      <c r="R121" s="22" t="str">
        <f t="shared" si="6"/>
        <v>20/21</v>
      </c>
      <c r="S121" s="69" t="str">
        <f t="shared" si="9"/>
        <v>'1150</v>
      </c>
      <c r="T121" s="23" t="s">
        <v>65</v>
      </c>
      <c r="U121" s="23"/>
      <c r="V121" s="24"/>
      <c r="W121" s="24"/>
      <c r="X121" s="23">
        <f>+M123</f>
        <v>0</v>
      </c>
      <c r="Y121" s="70" t="s">
        <v>66</v>
      </c>
    </row>
    <row r="122" spans="1:25" ht="16.5" customHeight="1">
      <c r="A122" s="60" t="s">
        <v>67</v>
      </c>
      <c r="B122" s="61"/>
      <c r="C122" s="61"/>
      <c r="D122" s="61"/>
      <c r="E122" s="61"/>
      <c r="F122" s="61"/>
      <c r="G122" s="61"/>
      <c r="H122" s="62" t="str">
        <f>IF(B122="","",((E122*B122+F122*C122)/SUM(B122:C122)))</f>
        <v/>
      </c>
      <c r="I122" s="4"/>
      <c r="J122" s="60" t="s">
        <v>67</v>
      </c>
      <c r="K122" s="61"/>
      <c r="L122" s="61"/>
      <c r="M122" s="61"/>
      <c r="N122" s="61"/>
      <c r="O122" s="61"/>
      <c r="P122" s="61"/>
      <c r="R122" s="22" t="str">
        <f t="shared" si="6"/>
        <v>20/21</v>
      </c>
      <c r="S122" s="69" t="str">
        <f t="shared" si="9"/>
        <v>'1150</v>
      </c>
      <c r="T122" s="49">
        <v>7006</v>
      </c>
      <c r="U122" s="49"/>
      <c r="V122" s="24"/>
      <c r="W122" s="24"/>
      <c r="X122" s="23">
        <f>N122</f>
        <v>0</v>
      </c>
      <c r="Y122" s="74" t="s">
        <v>68</v>
      </c>
    </row>
    <row r="123" spans="1:25" ht="16.5" customHeight="1">
      <c r="A123" s="60" t="s">
        <v>69</v>
      </c>
      <c r="B123" s="61"/>
      <c r="C123" s="61"/>
      <c r="D123" s="36"/>
      <c r="E123" s="61"/>
      <c r="F123" s="61"/>
      <c r="G123" s="64"/>
      <c r="H123" s="62" t="str">
        <f>IF(B123="","",((E123*B123+F123*C123)/SUM(B123:C123)))</f>
        <v/>
      </c>
      <c r="I123" s="4"/>
      <c r="J123" s="60" t="s">
        <v>69</v>
      </c>
      <c r="K123" s="61"/>
      <c r="L123" s="61"/>
      <c r="M123" s="65"/>
      <c r="N123" s="66"/>
      <c r="O123" s="66"/>
      <c r="P123" s="66"/>
      <c r="R123" s="22" t="str">
        <f t="shared" si="6"/>
        <v>20/21</v>
      </c>
      <c r="S123" s="69" t="str">
        <f t="shared" si="9"/>
        <v>'1150</v>
      </c>
      <c r="T123" s="49">
        <v>7007</v>
      </c>
      <c r="U123" s="49"/>
      <c r="V123" s="24"/>
      <c r="W123" s="24"/>
      <c r="X123" s="23">
        <f>O122</f>
        <v>0</v>
      </c>
      <c r="Y123" s="74" t="s">
        <v>70</v>
      </c>
    </row>
    <row r="124" spans="1:25" ht="18" customHeight="1">
      <c r="A124" s="37" t="s">
        <v>71</v>
      </c>
      <c r="B124" s="67">
        <f>IF(B116="","",(B123+B122)/B116)</f>
        <v>0</v>
      </c>
      <c r="C124" s="67">
        <f>IF(B116="","",(C123+C122)/B116)</f>
        <v>0</v>
      </c>
      <c r="D124" s="67">
        <f>IF(B116="","",(D123+D122)/B116)</f>
        <v>0</v>
      </c>
      <c r="E124" s="195" t="str">
        <f>IF(B116="","",IF(B124+C124+D124&gt;Bovinos!$AD$5," -&gt; índices (somados) acima da média",IF(B124+C124+D124&lt;Bovinos!$AD$4," -&gt; índices (somados) abaixo da média","")))</f>
        <v xml:space="preserve"> -&gt; índices (somados) abaixo da média</v>
      </c>
      <c r="F124" s="195"/>
      <c r="G124" s="195"/>
      <c r="H124" s="195"/>
      <c r="I124" s="4"/>
      <c r="J124" s="37" t="s">
        <v>71</v>
      </c>
      <c r="K124" s="68">
        <f>IF(B116="","-",(K123+K122)/B116)</f>
        <v>0</v>
      </c>
      <c r="L124" s="68">
        <f>IF(B116="","-",(L123+L122)/B116)</f>
        <v>0</v>
      </c>
      <c r="M124" s="68">
        <f>IF(B116="","-",(M123+M122+O122+N122+P122)/B116)</f>
        <v>0</v>
      </c>
      <c r="N124" s="209" t="str">
        <f>IF(AND(K124="-",L124="-",M124="-"),"",IF(K124&gt;Bovinos!$AA$5," -&gt; índice(s) fora da faixa média",IF(K124&lt;Bovinos!$AA$4," -&gt; índice(s) fora da faixa média",IF(L124&gt;Bovinos!$AB$5," -&gt; índice(s) fora da faixa média",IF(L124&lt;Bovinos!$AB$4," -&gt; índice(s) fora da faixa média",IF(M124&gt;Bovinos!$AC$5," -&gt; índice(s) fora da faixa média",IF(M124&lt;Bovinos!$AC$4," -&gt; índice(s) fora da faixa média","")))))))</f>
        <v xml:space="preserve"> -&gt; índice(s) fora da faixa média</v>
      </c>
      <c r="O124" s="209"/>
      <c r="P124" s="209"/>
      <c r="R124" s="22" t="str">
        <f t="shared" si="6"/>
        <v>20/21</v>
      </c>
      <c r="S124" s="69" t="str">
        <f t="shared" si="9"/>
        <v>'1150</v>
      </c>
      <c r="T124" s="49">
        <v>7008</v>
      </c>
      <c r="U124" s="49"/>
      <c r="V124" s="24"/>
      <c r="W124" s="24"/>
      <c r="X124" s="23">
        <f>P122</f>
        <v>0</v>
      </c>
      <c r="Y124" s="74" t="s">
        <v>72</v>
      </c>
    </row>
    <row r="125" spans="1:25" ht="7.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R125" s="22" t="str">
        <f t="shared" si="6"/>
        <v>20/21</v>
      </c>
      <c r="S125" s="69" t="str">
        <f t="shared" si="9"/>
        <v>'1150</v>
      </c>
      <c r="T125" s="23" t="s">
        <v>73</v>
      </c>
      <c r="U125" s="23"/>
      <c r="V125" s="24"/>
      <c r="W125" s="18"/>
      <c r="X125" s="23">
        <f>+M122</f>
        <v>0</v>
      </c>
      <c r="Y125" s="70" t="s">
        <v>74</v>
      </c>
    </row>
    <row r="126" spans="1:25" ht="7.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R126" s="22" t="str">
        <f t="shared" si="6"/>
        <v>20/21</v>
      </c>
      <c r="S126" s="69" t="str">
        <f t="shared" si="9"/>
        <v>'1150</v>
      </c>
      <c r="T126" s="23" t="s">
        <v>75</v>
      </c>
      <c r="U126" s="23">
        <f>+H116</f>
        <v>0</v>
      </c>
      <c r="V126" s="24"/>
      <c r="W126" s="18"/>
      <c r="X126" s="23"/>
      <c r="Y126" s="70" t="s">
        <v>76</v>
      </c>
    </row>
    <row r="127" spans="1:25" ht="16.5" customHeight="1">
      <c r="A127" s="20" t="s">
        <v>19</v>
      </c>
      <c r="B127" s="20" t="s">
        <v>91</v>
      </c>
      <c r="C127" s="20" t="s">
        <v>92</v>
      </c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R127" s="22" t="str">
        <f t="shared" si="6"/>
        <v>20/21</v>
      </c>
      <c r="S127" s="69" t="str">
        <f>+B127</f>
        <v>'1250</v>
      </c>
      <c r="T127" s="23">
        <v>7014</v>
      </c>
      <c r="U127" s="23"/>
      <c r="V127" s="24">
        <f>J131</f>
        <v>0</v>
      </c>
      <c r="W127" s="24"/>
      <c r="X127" s="24"/>
      <c r="Y127" s="70" t="s">
        <v>22</v>
      </c>
    </row>
    <row r="128" spans="1:25" ht="6" customHeight="1">
      <c r="A128" s="26"/>
      <c r="B128" s="27"/>
      <c r="C128" s="28"/>
      <c r="D128" s="28"/>
      <c r="E128" s="28"/>
      <c r="F128" s="28"/>
      <c r="G128" s="4"/>
      <c r="H128" s="4"/>
      <c r="I128" s="29"/>
      <c r="J128" s="4"/>
      <c r="K128" s="4"/>
      <c r="L128" s="71"/>
      <c r="M128" s="4"/>
      <c r="N128" s="4"/>
      <c r="O128" s="4"/>
      <c r="P128" s="4"/>
      <c r="R128" s="22" t="str">
        <f t="shared" si="6"/>
        <v>20/21</v>
      </c>
      <c r="S128" s="69" t="str">
        <f t="shared" ref="S128:S141" si="10">+S127</f>
        <v>'1250</v>
      </c>
      <c r="T128" s="24"/>
      <c r="U128" s="24"/>
      <c r="V128" s="32">
        <f>M131</f>
        <v>0</v>
      </c>
      <c r="W128" s="24"/>
      <c r="X128" s="24"/>
      <c r="Y128" s="72" t="s">
        <v>23</v>
      </c>
    </row>
    <row r="129" spans="1:25" ht="11.25" customHeight="1">
      <c r="A129" s="36"/>
      <c r="B129" s="200" t="s">
        <v>27</v>
      </c>
      <c r="C129" s="205" t="s">
        <v>28</v>
      </c>
      <c r="D129" s="205"/>
      <c r="E129" s="205" t="s">
        <v>29</v>
      </c>
      <c r="F129" s="205"/>
      <c r="G129" s="36"/>
      <c r="H129" s="205" t="s">
        <v>30</v>
      </c>
      <c r="I129" s="4"/>
      <c r="J129" s="206" t="s">
        <v>31</v>
      </c>
      <c r="K129" s="207"/>
      <c r="L129" s="202"/>
      <c r="M129" s="208"/>
      <c r="N129" s="38"/>
      <c r="O129" s="4"/>
      <c r="P129" s="206" t="s">
        <v>32</v>
      </c>
      <c r="R129" s="22" t="str">
        <f t="shared" si="6"/>
        <v>20/21</v>
      </c>
      <c r="S129" s="69" t="str">
        <f t="shared" si="10"/>
        <v>'1250</v>
      </c>
      <c r="T129" s="23" t="s">
        <v>33</v>
      </c>
      <c r="U129" s="23"/>
      <c r="V129" s="23">
        <f>+B131</f>
        <v>23606</v>
      </c>
      <c r="W129" s="39" t="str">
        <f>+H137</f>
        <v/>
      </c>
      <c r="X129" s="23">
        <f>B137+C137</f>
        <v>0</v>
      </c>
      <c r="Y129" s="70" t="s">
        <v>34</v>
      </c>
    </row>
    <row r="130" spans="1:25" ht="12" customHeight="1">
      <c r="A130" s="36"/>
      <c r="B130" s="200"/>
      <c r="C130" s="40" t="s">
        <v>36</v>
      </c>
      <c r="D130" s="40" t="s">
        <v>37</v>
      </c>
      <c r="E130" s="40" t="s">
        <v>36</v>
      </c>
      <c r="F130" s="40" t="s">
        <v>37</v>
      </c>
      <c r="G130" s="36"/>
      <c r="H130" s="205"/>
      <c r="I130" s="4"/>
      <c r="J130" s="206"/>
      <c r="K130" s="207"/>
      <c r="L130" s="202"/>
      <c r="M130" s="208"/>
      <c r="N130" s="38"/>
      <c r="O130" s="4"/>
      <c r="P130" s="206"/>
      <c r="R130" s="22" t="str">
        <f t="shared" si="6"/>
        <v>20/21</v>
      </c>
      <c r="S130" s="69" t="str">
        <f t="shared" si="10"/>
        <v>'1250</v>
      </c>
      <c r="T130" s="23" t="s">
        <v>38</v>
      </c>
      <c r="U130" s="23"/>
      <c r="V130" s="73"/>
      <c r="W130" s="39" t="str">
        <f>H138</f>
        <v/>
      </c>
      <c r="X130" s="23">
        <f>B138+C138</f>
        <v>0</v>
      </c>
      <c r="Y130" s="70" t="s">
        <v>39</v>
      </c>
    </row>
    <row r="131" spans="1:25" ht="16.5" customHeight="1">
      <c r="A131" s="200" t="s">
        <v>40</v>
      </c>
      <c r="B131" s="201">
        <v>23606</v>
      </c>
      <c r="C131" s="42"/>
      <c r="D131" s="42"/>
      <c r="E131" s="42"/>
      <c r="F131" s="42"/>
      <c r="G131" s="43" t="str">
        <f>IF(SUM(C132:F132)=0,"",IF(SUM(C131:F131)&lt;1,"&lt;100%",IF(SUM(C131:F131)&gt;1,"&gt;100%","OK")))</f>
        <v/>
      </c>
      <c r="H131" s="44"/>
      <c r="I131" s="4"/>
      <c r="J131" s="76">
        <f>'Leite - Produção'!S18</f>
        <v>0</v>
      </c>
      <c r="K131" s="46"/>
      <c r="L131" s="202"/>
      <c r="M131" s="47"/>
      <c r="N131" s="31"/>
      <c r="O131" s="4"/>
      <c r="P131" s="48" t="e">
        <f>SUM(F132+D132)/H131</f>
        <v>#DIV/0!</v>
      </c>
      <c r="R131" s="22" t="str">
        <f t="shared" si="6"/>
        <v>20/21</v>
      </c>
      <c r="S131" s="69" t="str">
        <f t="shared" si="10"/>
        <v>'1250</v>
      </c>
      <c r="T131" s="49">
        <v>7590</v>
      </c>
      <c r="U131" s="49"/>
      <c r="V131" s="73"/>
      <c r="W131" s="50">
        <f>+G137</f>
        <v>0</v>
      </c>
      <c r="X131" s="23">
        <f>D137</f>
        <v>0</v>
      </c>
      <c r="Y131" s="74" t="s">
        <v>41</v>
      </c>
    </row>
    <row r="132" spans="1:25" ht="16.5" customHeight="1">
      <c r="A132" s="200"/>
      <c r="B132" s="201"/>
      <c r="C132" s="77">
        <f>+C131*B131</f>
        <v>0</v>
      </c>
      <c r="D132" s="77">
        <f>+D131*B131</f>
        <v>0</v>
      </c>
      <c r="E132" s="77">
        <f>+E131*B131</f>
        <v>0</v>
      </c>
      <c r="F132" s="77">
        <f>+F131*B131</f>
        <v>0</v>
      </c>
      <c r="G132" s="36"/>
      <c r="H132" s="36"/>
      <c r="I132" s="4"/>
      <c r="J132" s="36"/>
      <c r="K132" s="53"/>
      <c r="L132" s="202"/>
      <c r="M132" s="31"/>
      <c r="N132" s="31"/>
      <c r="O132" s="36"/>
      <c r="P132" s="36"/>
      <c r="R132" s="22" t="str">
        <f t="shared" si="6"/>
        <v>20/21</v>
      </c>
      <c r="S132" s="69" t="str">
        <f t="shared" si="10"/>
        <v>'1250</v>
      </c>
      <c r="T132" s="23" t="s">
        <v>42</v>
      </c>
      <c r="U132" s="23"/>
      <c r="V132" s="73"/>
      <c r="W132" s="73"/>
      <c r="X132" s="23">
        <f>K137</f>
        <v>0</v>
      </c>
      <c r="Y132" s="70" t="s">
        <v>43</v>
      </c>
    </row>
    <row r="133" spans="1:25" ht="4.5" customHeight="1">
      <c r="A133" s="55"/>
      <c r="B133" s="56"/>
      <c r="C133" s="78"/>
      <c r="D133" s="78"/>
      <c r="E133" s="78"/>
      <c r="F133" s="78"/>
      <c r="G133" s="78"/>
      <c r="H133" s="36"/>
      <c r="I133" s="29"/>
      <c r="J133" s="36"/>
      <c r="K133" s="36"/>
      <c r="L133" s="75"/>
      <c r="M133" s="36"/>
      <c r="N133" s="36"/>
      <c r="O133" s="36"/>
      <c r="P133" s="36"/>
      <c r="R133" s="22" t="str">
        <f t="shared" si="6"/>
        <v>20/21</v>
      </c>
      <c r="S133" s="69" t="str">
        <f t="shared" si="10"/>
        <v>'1250</v>
      </c>
      <c r="T133" s="23" t="s">
        <v>44</v>
      </c>
      <c r="U133" s="23"/>
      <c r="V133" s="73"/>
      <c r="W133" s="73"/>
      <c r="X133" s="23">
        <f>K138</f>
        <v>0</v>
      </c>
      <c r="Y133" s="70" t="s">
        <v>45</v>
      </c>
    </row>
    <row r="134" spans="1:25" ht="16.5" customHeight="1">
      <c r="A134" s="203" t="s">
        <v>46</v>
      </c>
      <c r="B134" s="204" t="s">
        <v>47</v>
      </c>
      <c r="C134" s="204"/>
      <c r="D134" s="204"/>
      <c r="E134" s="204" t="s">
        <v>48</v>
      </c>
      <c r="F134" s="204"/>
      <c r="G134" s="204"/>
      <c r="H134" s="205" t="s">
        <v>49</v>
      </c>
      <c r="I134" s="4"/>
      <c r="J134" s="203" t="s">
        <v>46</v>
      </c>
      <c r="K134" s="204" t="s">
        <v>50</v>
      </c>
      <c r="L134" s="204"/>
      <c r="M134" s="204"/>
      <c r="N134" s="197"/>
      <c r="O134" s="197"/>
      <c r="P134" s="197"/>
      <c r="R134" s="22" t="str">
        <f t="shared" si="6"/>
        <v>20/21</v>
      </c>
      <c r="S134" s="69" t="str">
        <f t="shared" si="10"/>
        <v>'1250</v>
      </c>
      <c r="T134" s="23" t="s">
        <v>52</v>
      </c>
      <c r="U134" s="23"/>
      <c r="V134" s="73"/>
      <c r="W134" s="73"/>
      <c r="X134" s="23">
        <f>L137</f>
        <v>0</v>
      </c>
      <c r="Y134" s="70" t="s">
        <v>53</v>
      </c>
    </row>
    <row r="135" spans="1:25" ht="16.5" customHeight="1">
      <c r="A135" s="203"/>
      <c r="B135" s="198" t="s">
        <v>54</v>
      </c>
      <c r="C135" s="198" t="s">
        <v>55</v>
      </c>
      <c r="D135" s="198" t="s">
        <v>56</v>
      </c>
      <c r="E135" s="198" t="s">
        <v>54</v>
      </c>
      <c r="F135" s="198" t="s">
        <v>55</v>
      </c>
      <c r="G135" s="198" t="s">
        <v>56</v>
      </c>
      <c r="H135" s="205"/>
      <c r="I135" s="4"/>
      <c r="J135" s="203"/>
      <c r="K135" s="199" t="s">
        <v>57</v>
      </c>
      <c r="L135" s="199" t="s">
        <v>58</v>
      </c>
      <c r="M135" s="199" t="s">
        <v>59</v>
      </c>
      <c r="N135" s="197"/>
      <c r="O135" s="197"/>
      <c r="P135" s="197"/>
      <c r="R135" s="22" t="str">
        <f t="shared" ref="R135:R198" si="11">+$S$5</f>
        <v>20/21</v>
      </c>
      <c r="S135" s="69" t="str">
        <f t="shared" si="10"/>
        <v>'1250</v>
      </c>
      <c r="T135" s="23" t="s">
        <v>60</v>
      </c>
      <c r="U135" s="23"/>
      <c r="V135" s="24"/>
      <c r="W135" s="24"/>
      <c r="X135" s="23">
        <f>+L138</f>
        <v>0</v>
      </c>
      <c r="Y135" s="70" t="s">
        <v>61</v>
      </c>
    </row>
    <row r="136" spans="1:25" ht="18" customHeight="1">
      <c r="A136" s="203"/>
      <c r="B136" s="198"/>
      <c r="C136" s="198"/>
      <c r="D136" s="198"/>
      <c r="E136" s="198"/>
      <c r="F136" s="198"/>
      <c r="G136" s="198"/>
      <c r="H136" s="205"/>
      <c r="I136" s="4"/>
      <c r="J136" s="203"/>
      <c r="K136" s="199"/>
      <c r="L136" s="199"/>
      <c r="M136" s="199"/>
      <c r="N136" s="60"/>
      <c r="O136" s="60"/>
      <c r="P136" s="60"/>
      <c r="R136" s="22" t="str">
        <f t="shared" si="11"/>
        <v>20/21</v>
      </c>
      <c r="S136" s="69" t="str">
        <f t="shared" si="10"/>
        <v>'1250</v>
      </c>
      <c r="T136" s="23" t="s">
        <v>65</v>
      </c>
      <c r="U136" s="23"/>
      <c r="V136" s="24"/>
      <c r="W136" s="24"/>
      <c r="X136" s="23">
        <f>+M138</f>
        <v>0</v>
      </c>
      <c r="Y136" s="70" t="s">
        <v>66</v>
      </c>
    </row>
    <row r="137" spans="1:25" ht="16.5" customHeight="1">
      <c r="A137" s="60" t="s">
        <v>67</v>
      </c>
      <c r="B137" s="61"/>
      <c r="C137" s="61"/>
      <c r="D137" s="61"/>
      <c r="E137" s="61"/>
      <c r="F137" s="61"/>
      <c r="G137" s="61"/>
      <c r="H137" s="62" t="str">
        <f>IF(B137="","",((E137*B137+F137*C137)/SUM(B137:C137)))</f>
        <v/>
      </c>
      <c r="I137" s="4"/>
      <c r="J137" s="60" t="s">
        <v>67</v>
      </c>
      <c r="K137" s="61"/>
      <c r="L137" s="61"/>
      <c r="M137" s="61"/>
      <c r="N137" s="61"/>
      <c r="O137" s="61"/>
      <c r="P137" s="61"/>
      <c r="R137" s="22" t="str">
        <f t="shared" si="11"/>
        <v>20/21</v>
      </c>
      <c r="S137" s="69" t="str">
        <f t="shared" si="10"/>
        <v>'1250</v>
      </c>
      <c r="T137" s="49">
        <v>7006</v>
      </c>
      <c r="U137" s="49"/>
      <c r="V137" s="24"/>
      <c r="W137" s="24"/>
      <c r="X137" s="23">
        <f>N137</f>
        <v>0</v>
      </c>
      <c r="Y137" s="74" t="s">
        <v>68</v>
      </c>
    </row>
    <row r="138" spans="1:25" ht="16.5" customHeight="1">
      <c r="A138" s="60" t="s">
        <v>69</v>
      </c>
      <c r="B138" s="61"/>
      <c r="C138" s="61"/>
      <c r="D138" s="36"/>
      <c r="E138" s="61"/>
      <c r="F138" s="61"/>
      <c r="G138" s="64"/>
      <c r="H138" s="62" t="str">
        <f>IF(B138="","",((E138*B138+F138*C138)/SUM(B138:C138)))</f>
        <v/>
      </c>
      <c r="I138" s="4"/>
      <c r="J138" s="60" t="s">
        <v>69</v>
      </c>
      <c r="K138" s="61"/>
      <c r="L138" s="61"/>
      <c r="M138" s="65"/>
      <c r="N138" s="66"/>
      <c r="O138" s="66"/>
      <c r="P138" s="66"/>
      <c r="R138" s="22" t="str">
        <f t="shared" si="11"/>
        <v>20/21</v>
      </c>
      <c r="S138" s="69" t="str">
        <f t="shared" si="10"/>
        <v>'1250</v>
      </c>
      <c r="T138" s="49">
        <v>7007</v>
      </c>
      <c r="U138" s="49"/>
      <c r="V138" s="24"/>
      <c r="W138" s="24"/>
      <c r="X138" s="23">
        <f>O137</f>
        <v>0</v>
      </c>
      <c r="Y138" s="74" t="s">
        <v>70</v>
      </c>
    </row>
    <row r="139" spans="1:25" ht="18" customHeight="1">
      <c r="A139" s="37" t="s">
        <v>71</v>
      </c>
      <c r="B139" s="79">
        <f>IF(B131="","",(B138+B137)/B131)</f>
        <v>0</v>
      </c>
      <c r="C139" s="79">
        <f>IF(B131="","",(C138+C137)/B131)</f>
        <v>0</v>
      </c>
      <c r="D139" s="79">
        <f>IF(B131="","",(D138+D137)/B131)</f>
        <v>0</v>
      </c>
      <c r="E139" s="195" t="str">
        <f>IF(B131="","",IF(B139+C139+D139&gt;[1]Bovinos!$AD$5," -&gt; índices (somados) acima da média",IF(B139+C139+D139&lt;[1]Bovinos!$AD$4," -&gt; índices (somados) abaixo da média","")))</f>
        <v xml:space="preserve"> -&gt; índices (somados) abaixo da média</v>
      </c>
      <c r="F139" s="195"/>
      <c r="G139" s="195"/>
      <c r="H139" s="195"/>
      <c r="I139" s="4"/>
      <c r="J139" s="37" t="s">
        <v>71</v>
      </c>
      <c r="K139" s="80">
        <f>IF(B131="","-",(K138+K137)/B131)</f>
        <v>0</v>
      </c>
      <c r="L139" s="80">
        <f>IF(B131="","-",(L138+L137)/B131)</f>
        <v>0</v>
      </c>
      <c r="M139" s="80">
        <f>IF(B131="","-",(M138+M137+O137+N137+P137)/B131)</f>
        <v>0</v>
      </c>
      <c r="N139" s="195" t="str">
        <f>IF(AND(K139="-",L139="-",M139="-"),"",IF(K139&gt;Bovinos!$AA$5," -&gt; índice(s) fora da faixa média",IF(K139&lt;Bovinos!$AA$4," -&gt; índice(s) fora da faixa média",IF(L139&gt;Bovinos!$AB$5," -&gt; índice(s) fora da faixa média",IF(L139&lt;Bovinos!$AB$4," -&gt; índice(s) fora da faixa média",IF(M139&gt;Bovinos!$AC$5," -&gt; índice(s) fora da faixa média",IF(M139&lt;Bovinos!$AC$4," -&gt; índice(s) fora da faixa média","")))))))</f>
        <v xml:space="preserve"> -&gt; índice(s) fora da faixa média</v>
      </c>
      <c r="O139" s="195"/>
      <c r="P139" s="195"/>
      <c r="R139" s="22" t="str">
        <f t="shared" si="11"/>
        <v>20/21</v>
      </c>
      <c r="S139" s="69" t="str">
        <f t="shared" si="10"/>
        <v>'1250</v>
      </c>
      <c r="T139" s="49">
        <v>7008</v>
      </c>
      <c r="U139" s="49"/>
      <c r="V139" s="24"/>
      <c r="W139" s="24"/>
      <c r="X139" s="23">
        <f>P137</f>
        <v>0</v>
      </c>
      <c r="Y139" s="74" t="s">
        <v>72</v>
      </c>
    </row>
    <row r="140" spans="1:25" ht="7.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R140" s="22" t="str">
        <f t="shared" si="11"/>
        <v>20/21</v>
      </c>
      <c r="S140" s="69" t="str">
        <f t="shared" si="10"/>
        <v>'1250</v>
      </c>
      <c r="T140" s="23" t="s">
        <v>73</v>
      </c>
      <c r="U140" s="23"/>
      <c r="V140" s="24"/>
      <c r="W140" s="18"/>
      <c r="X140" s="23">
        <f>+M137</f>
        <v>0</v>
      </c>
      <c r="Y140" s="70" t="s">
        <v>74</v>
      </c>
    </row>
    <row r="141" spans="1:25" ht="7.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R141" s="22" t="str">
        <f t="shared" si="11"/>
        <v>20/21</v>
      </c>
      <c r="S141" s="69" t="str">
        <f t="shared" si="10"/>
        <v>'1250</v>
      </c>
      <c r="T141" s="23" t="s">
        <v>75</v>
      </c>
      <c r="U141" s="23">
        <f>+H131</f>
        <v>0</v>
      </c>
      <c r="V141" s="24"/>
      <c r="W141" s="18"/>
      <c r="X141" s="23"/>
      <c r="Y141" s="70" t="s">
        <v>76</v>
      </c>
    </row>
    <row r="142" spans="1:25" ht="16.5" customHeight="1">
      <c r="A142" s="20" t="s">
        <v>19</v>
      </c>
      <c r="B142" s="20" t="s">
        <v>93</v>
      </c>
      <c r="C142" s="21" t="s">
        <v>94</v>
      </c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R142" s="22" t="str">
        <f t="shared" si="11"/>
        <v>20/21</v>
      </c>
      <c r="S142" s="4" t="str">
        <f>+B142</f>
        <v>'1342</v>
      </c>
      <c r="T142" s="23">
        <v>7014</v>
      </c>
      <c r="U142" s="23"/>
      <c r="V142" s="24">
        <f>J146</f>
        <v>0</v>
      </c>
      <c r="W142" s="24"/>
      <c r="X142" s="24"/>
      <c r="Y142" s="25" t="s">
        <v>22</v>
      </c>
    </row>
    <row r="143" spans="1:25" ht="6" customHeight="1">
      <c r="A143" s="26"/>
      <c r="B143" s="27"/>
      <c r="C143" s="28"/>
      <c r="D143" s="28"/>
      <c r="E143" s="28"/>
      <c r="F143" s="28"/>
      <c r="G143" s="4"/>
      <c r="H143" s="4"/>
      <c r="I143" s="29"/>
      <c r="J143" s="4"/>
      <c r="K143" s="4"/>
      <c r="L143" s="71"/>
      <c r="M143" s="4"/>
      <c r="N143" s="4"/>
      <c r="O143" s="4"/>
      <c r="P143" s="4"/>
      <c r="R143" s="22" t="str">
        <f t="shared" si="11"/>
        <v>20/21</v>
      </c>
      <c r="S143" s="4" t="str">
        <f t="shared" ref="S143:S156" si="12">+S142</f>
        <v>'1342</v>
      </c>
      <c r="T143" s="24"/>
      <c r="U143" s="24"/>
      <c r="V143" s="32">
        <f>M146</f>
        <v>0</v>
      </c>
      <c r="W143" s="24"/>
      <c r="X143" s="24"/>
      <c r="Y143" s="24" t="s">
        <v>23</v>
      </c>
    </row>
    <row r="144" spans="1:25" ht="11.25" customHeight="1">
      <c r="A144" s="36"/>
      <c r="B144" s="200" t="s">
        <v>27</v>
      </c>
      <c r="C144" s="205" t="s">
        <v>28</v>
      </c>
      <c r="D144" s="205"/>
      <c r="E144" s="205" t="s">
        <v>29</v>
      </c>
      <c r="F144" s="205"/>
      <c r="G144" s="36"/>
      <c r="H144" s="205" t="s">
        <v>30</v>
      </c>
      <c r="I144" s="4"/>
      <c r="J144" s="206" t="s">
        <v>31</v>
      </c>
      <c r="K144" s="207"/>
      <c r="L144" s="202"/>
      <c r="M144" s="208"/>
      <c r="N144" s="38"/>
      <c r="O144" s="4"/>
      <c r="P144" s="206" t="s">
        <v>32</v>
      </c>
      <c r="R144" s="22" t="str">
        <f t="shared" si="11"/>
        <v>20/21</v>
      </c>
      <c r="S144" s="4" t="str">
        <f t="shared" si="12"/>
        <v>'1342</v>
      </c>
      <c r="T144" s="23" t="s">
        <v>33</v>
      </c>
      <c r="U144" s="23"/>
      <c r="V144" s="23">
        <f>+B146</f>
        <v>8736</v>
      </c>
      <c r="W144" s="39" t="str">
        <f>+H152</f>
        <v/>
      </c>
      <c r="X144" s="23">
        <f>B152+C152</f>
        <v>0</v>
      </c>
      <c r="Y144" s="25" t="s">
        <v>34</v>
      </c>
    </row>
    <row r="145" spans="1:25" ht="12" customHeight="1">
      <c r="A145" s="36"/>
      <c r="B145" s="200"/>
      <c r="C145" s="40" t="s">
        <v>36</v>
      </c>
      <c r="D145" s="40" t="s">
        <v>37</v>
      </c>
      <c r="E145" s="40" t="s">
        <v>36</v>
      </c>
      <c r="F145" s="40" t="s">
        <v>37</v>
      </c>
      <c r="G145" s="36"/>
      <c r="H145" s="205"/>
      <c r="I145" s="4"/>
      <c r="J145" s="206"/>
      <c r="K145" s="207"/>
      <c r="L145" s="202"/>
      <c r="M145" s="208"/>
      <c r="N145" s="38"/>
      <c r="O145" s="4"/>
      <c r="P145" s="206"/>
      <c r="R145" s="22" t="str">
        <f t="shared" si="11"/>
        <v>20/21</v>
      </c>
      <c r="S145" s="4" t="str">
        <f t="shared" si="12"/>
        <v>'1342</v>
      </c>
      <c r="T145" s="23" t="s">
        <v>38</v>
      </c>
      <c r="U145" s="23"/>
      <c r="V145" s="41"/>
      <c r="W145" s="39" t="str">
        <f>H153</f>
        <v/>
      </c>
      <c r="X145" s="23">
        <f>B153+C153</f>
        <v>0</v>
      </c>
      <c r="Y145" s="25" t="s">
        <v>39</v>
      </c>
    </row>
    <row r="146" spans="1:25" ht="16.5" customHeight="1">
      <c r="A146" s="200" t="s">
        <v>40</v>
      </c>
      <c r="B146" s="201">
        <v>8736</v>
      </c>
      <c r="C146" s="42"/>
      <c r="D146" s="42"/>
      <c r="E146" s="42"/>
      <c r="F146" s="42"/>
      <c r="G146" s="43" t="str">
        <f>IF(SUM(C147:F147)=0,"",IF(SUM(C146:F146)&lt;1,"&lt;100%",IF(SUM(C146:F146)&gt;1,"&gt;100%","OK")))</f>
        <v/>
      </c>
      <c r="H146" s="44"/>
      <c r="I146" s="4"/>
      <c r="J146" s="45">
        <f>'Leite - Produção'!S19</f>
        <v>0</v>
      </c>
      <c r="K146" s="46"/>
      <c r="L146" s="202"/>
      <c r="M146" s="47"/>
      <c r="N146" s="31"/>
      <c r="O146" s="4"/>
      <c r="P146" s="48" t="e">
        <f>SUM(F147+D147)/H146</f>
        <v>#DIV/0!</v>
      </c>
      <c r="R146" s="22" t="str">
        <f t="shared" si="11"/>
        <v>20/21</v>
      </c>
      <c r="S146" s="4" t="str">
        <f t="shared" si="12"/>
        <v>'1342</v>
      </c>
      <c r="T146" s="49">
        <v>7590</v>
      </c>
      <c r="U146" s="49"/>
      <c r="V146" s="41"/>
      <c r="W146" s="50">
        <f>+G152</f>
        <v>0</v>
      </c>
      <c r="X146" s="23">
        <f>D152</f>
        <v>0</v>
      </c>
      <c r="Y146" s="51" t="s">
        <v>41</v>
      </c>
    </row>
    <row r="147" spans="1:25" ht="16.5" customHeight="1">
      <c r="A147" s="200"/>
      <c r="B147" s="201"/>
      <c r="C147" s="52">
        <f>+C146*B146</f>
        <v>0</v>
      </c>
      <c r="D147" s="52">
        <f>+D146*B146</f>
        <v>0</v>
      </c>
      <c r="E147" s="52">
        <f>+E146*B146</f>
        <v>0</v>
      </c>
      <c r="F147" s="52">
        <f>+F146*B146</f>
        <v>0</v>
      </c>
      <c r="G147" s="36"/>
      <c r="H147" s="36"/>
      <c r="I147" s="4"/>
      <c r="J147" s="36"/>
      <c r="K147" s="53"/>
      <c r="L147" s="202"/>
      <c r="M147" s="31"/>
      <c r="N147" s="31"/>
      <c r="O147" s="36"/>
      <c r="P147" s="36"/>
      <c r="R147" s="22" t="str">
        <f t="shared" si="11"/>
        <v>20/21</v>
      </c>
      <c r="S147" s="4" t="str">
        <f t="shared" si="12"/>
        <v>'1342</v>
      </c>
      <c r="T147" s="23" t="s">
        <v>42</v>
      </c>
      <c r="U147" s="23"/>
      <c r="V147" s="41"/>
      <c r="W147" s="41"/>
      <c r="X147" s="23">
        <f>K152</f>
        <v>0</v>
      </c>
      <c r="Y147" s="25" t="s">
        <v>43</v>
      </c>
    </row>
    <row r="148" spans="1:25" ht="4.5" customHeight="1">
      <c r="A148" s="55"/>
      <c r="B148" s="56"/>
      <c r="C148" s="57"/>
      <c r="D148" s="57"/>
      <c r="E148" s="57"/>
      <c r="F148" s="57"/>
      <c r="G148" s="57"/>
      <c r="H148" s="36"/>
      <c r="I148" s="29"/>
      <c r="J148" s="36"/>
      <c r="K148" s="36"/>
      <c r="L148" s="75"/>
      <c r="M148" s="36"/>
      <c r="N148" s="36"/>
      <c r="O148" s="36"/>
      <c r="P148" s="36"/>
      <c r="R148" s="22" t="str">
        <f t="shared" si="11"/>
        <v>20/21</v>
      </c>
      <c r="S148" s="4" t="str">
        <f t="shared" si="12"/>
        <v>'1342</v>
      </c>
      <c r="T148" s="23" t="s">
        <v>44</v>
      </c>
      <c r="U148" s="23"/>
      <c r="V148" s="41"/>
      <c r="W148" s="41"/>
      <c r="X148" s="23">
        <f>K153</f>
        <v>0</v>
      </c>
      <c r="Y148" s="25" t="s">
        <v>45</v>
      </c>
    </row>
    <row r="149" spans="1:25" ht="16.5" customHeight="1">
      <c r="A149" s="203" t="s">
        <v>46</v>
      </c>
      <c r="B149" s="204" t="s">
        <v>47</v>
      </c>
      <c r="C149" s="204"/>
      <c r="D149" s="204"/>
      <c r="E149" s="204" t="s">
        <v>48</v>
      </c>
      <c r="F149" s="204"/>
      <c r="G149" s="204"/>
      <c r="H149" s="205" t="s">
        <v>49</v>
      </c>
      <c r="I149" s="4"/>
      <c r="J149" s="203" t="s">
        <v>46</v>
      </c>
      <c r="K149" s="204" t="s">
        <v>50</v>
      </c>
      <c r="L149" s="204"/>
      <c r="M149" s="204"/>
      <c r="N149" s="200" t="s">
        <v>51</v>
      </c>
      <c r="O149" s="200"/>
      <c r="P149" s="200"/>
      <c r="R149" s="22" t="str">
        <f t="shared" si="11"/>
        <v>20/21</v>
      </c>
      <c r="S149" s="4" t="str">
        <f t="shared" si="12"/>
        <v>'1342</v>
      </c>
      <c r="T149" s="23" t="s">
        <v>52</v>
      </c>
      <c r="U149" s="23"/>
      <c r="V149" s="41"/>
      <c r="W149" s="41"/>
      <c r="X149" s="23">
        <f>L152</f>
        <v>0</v>
      </c>
      <c r="Y149" s="25" t="s">
        <v>53</v>
      </c>
    </row>
    <row r="150" spans="1:25" ht="16.5" customHeight="1">
      <c r="A150" s="203"/>
      <c r="B150" s="198" t="s">
        <v>54</v>
      </c>
      <c r="C150" s="198" t="s">
        <v>55</v>
      </c>
      <c r="D150" s="198" t="s">
        <v>56</v>
      </c>
      <c r="E150" s="198" t="s">
        <v>54</v>
      </c>
      <c r="F150" s="198" t="s">
        <v>55</v>
      </c>
      <c r="G150" s="198" t="s">
        <v>56</v>
      </c>
      <c r="H150" s="205"/>
      <c r="I150" s="4"/>
      <c r="J150" s="203"/>
      <c r="K150" s="199" t="s">
        <v>57</v>
      </c>
      <c r="L150" s="199" t="s">
        <v>58</v>
      </c>
      <c r="M150" s="199" t="s">
        <v>59</v>
      </c>
      <c r="N150" s="200"/>
      <c r="O150" s="200"/>
      <c r="P150" s="200"/>
      <c r="R150" s="22" t="str">
        <f t="shared" si="11"/>
        <v>20/21</v>
      </c>
      <c r="S150" s="4" t="str">
        <f t="shared" si="12"/>
        <v>'1342</v>
      </c>
      <c r="T150" s="23" t="s">
        <v>60</v>
      </c>
      <c r="U150" s="23"/>
      <c r="V150" s="24"/>
      <c r="W150" s="24"/>
      <c r="X150" s="23">
        <f>+L153</f>
        <v>0</v>
      </c>
      <c r="Y150" s="25" t="s">
        <v>61</v>
      </c>
    </row>
    <row r="151" spans="1:25" ht="18" customHeight="1">
      <c r="A151" s="203"/>
      <c r="B151" s="198"/>
      <c r="C151" s="198"/>
      <c r="D151" s="198"/>
      <c r="E151" s="198"/>
      <c r="F151" s="198"/>
      <c r="G151" s="198"/>
      <c r="H151" s="205"/>
      <c r="I151" s="4"/>
      <c r="J151" s="203"/>
      <c r="K151" s="199"/>
      <c r="L151" s="199"/>
      <c r="M151" s="199"/>
      <c r="N151" s="60" t="s">
        <v>62</v>
      </c>
      <c r="O151" s="60" t="s">
        <v>63</v>
      </c>
      <c r="P151" s="60" t="s">
        <v>64</v>
      </c>
      <c r="R151" s="22" t="str">
        <f t="shared" si="11"/>
        <v>20/21</v>
      </c>
      <c r="S151" s="4" t="str">
        <f t="shared" si="12"/>
        <v>'1342</v>
      </c>
      <c r="T151" s="23" t="s">
        <v>65</v>
      </c>
      <c r="U151" s="23"/>
      <c r="V151" s="24"/>
      <c r="W151" s="24"/>
      <c r="X151" s="23">
        <f>+M153</f>
        <v>0</v>
      </c>
      <c r="Y151" s="25" t="s">
        <v>66</v>
      </c>
    </row>
    <row r="152" spans="1:25" ht="16.5" customHeight="1">
      <c r="A152" s="60" t="s">
        <v>67</v>
      </c>
      <c r="B152" s="61"/>
      <c r="C152" s="61"/>
      <c r="D152" s="61"/>
      <c r="E152" s="61"/>
      <c r="F152" s="61"/>
      <c r="G152" s="61"/>
      <c r="H152" s="62" t="str">
        <f>IF(B152="","",((E152*B152+F152*C152)/SUM(B152:C152)))</f>
        <v/>
      </c>
      <c r="I152" s="4"/>
      <c r="J152" s="60" t="s">
        <v>67</v>
      </c>
      <c r="K152" s="61"/>
      <c r="L152" s="61"/>
      <c r="M152" s="61"/>
      <c r="N152" s="61"/>
      <c r="O152" s="61"/>
      <c r="P152" s="61"/>
      <c r="R152" s="22" t="str">
        <f t="shared" si="11"/>
        <v>20/21</v>
      </c>
      <c r="S152" s="4" t="str">
        <f t="shared" si="12"/>
        <v>'1342</v>
      </c>
      <c r="T152" s="49">
        <v>7006</v>
      </c>
      <c r="U152" s="49"/>
      <c r="V152" s="24"/>
      <c r="W152" s="24"/>
      <c r="X152" s="23">
        <f>N152</f>
        <v>0</v>
      </c>
      <c r="Y152" s="51" t="s">
        <v>68</v>
      </c>
    </row>
    <row r="153" spans="1:25" ht="16.5" customHeight="1">
      <c r="A153" s="60" t="s">
        <v>69</v>
      </c>
      <c r="B153" s="61"/>
      <c r="C153" s="61"/>
      <c r="D153" s="36"/>
      <c r="E153" s="61"/>
      <c r="F153" s="61"/>
      <c r="G153" s="64"/>
      <c r="H153" s="62" t="str">
        <f>IF(B153="","",((E153*B153+F153*C153)/SUM(B153:C153)))</f>
        <v/>
      </c>
      <c r="I153" s="4"/>
      <c r="J153" s="60" t="s">
        <v>69</v>
      </c>
      <c r="K153" s="61"/>
      <c r="L153" s="61"/>
      <c r="M153" s="65"/>
      <c r="N153" s="66"/>
      <c r="O153" s="66"/>
      <c r="P153" s="66"/>
      <c r="R153" s="22" t="str">
        <f t="shared" si="11"/>
        <v>20/21</v>
      </c>
      <c r="S153" s="4" t="str">
        <f t="shared" si="12"/>
        <v>'1342</v>
      </c>
      <c r="T153" s="49">
        <v>7007</v>
      </c>
      <c r="U153" s="49"/>
      <c r="V153" s="24"/>
      <c r="W153" s="24"/>
      <c r="X153" s="23">
        <f>O152</f>
        <v>0</v>
      </c>
      <c r="Y153" s="51" t="s">
        <v>70</v>
      </c>
    </row>
    <row r="154" spans="1:25" ht="18" customHeight="1">
      <c r="A154" s="37" t="s">
        <v>71</v>
      </c>
      <c r="B154" s="67">
        <f>IF(B146="","",(B153+B152)/B146)</f>
        <v>0</v>
      </c>
      <c r="C154" s="67">
        <f>IF(B146="","",(C153+C152)/B146)</f>
        <v>0</v>
      </c>
      <c r="D154" s="67">
        <f>IF(B146="","",(D153+D152)/B146)</f>
        <v>0</v>
      </c>
      <c r="E154" s="195" t="str">
        <f>IF(B146="","",IF(B154+C154+D154&gt;Bovinos!$AD$5," -&gt; índices (somados) acima da média",IF(B154+C154+D154&lt;Bovinos!$AD$4," -&gt; índices (somados) abaixo da média","")))</f>
        <v xml:space="preserve"> -&gt; índices (somados) abaixo da média</v>
      </c>
      <c r="F154" s="195"/>
      <c r="G154" s="195"/>
      <c r="H154" s="195"/>
      <c r="I154" s="4"/>
      <c r="J154" s="37" t="s">
        <v>71</v>
      </c>
      <c r="K154" s="68">
        <f>IF(B146="","-",(K153+K152)/B146)</f>
        <v>0</v>
      </c>
      <c r="L154" s="68">
        <f>IF(B146="","-",(L153+L152)/B146)</f>
        <v>0</v>
      </c>
      <c r="M154" s="68">
        <f>IF(B146="","-",(M153+M152+O152+N152+P152)/B146)</f>
        <v>0</v>
      </c>
      <c r="N154" s="209" t="str">
        <f>IF(AND(K154="-",L154="-",M154="-"),"",IF(K154&gt;Bovinos!$AA$5," -&gt; índice(s) fora da faixa média",IF(K154&lt;Bovinos!$AA$4," -&gt; índice(s) fora da faixa média",IF(L154&gt;Bovinos!$AB$5," -&gt; índice(s) fora da faixa média",IF(L154&lt;Bovinos!$AB$4," -&gt; índice(s) fora da faixa média",IF(M154&gt;Bovinos!$AC$5," -&gt; índice(s) fora da faixa média",IF(M154&lt;Bovinos!$AC$4," -&gt; índice(s) fora da faixa média","")))))))</f>
        <v xml:space="preserve"> -&gt; índice(s) fora da faixa média</v>
      </c>
      <c r="O154" s="209"/>
      <c r="P154" s="209"/>
      <c r="R154" s="22" t="str">
        <f t="shared" si="11"/>
        <v>20/21</v>
      </c>
      <c r="S154" s="4" t="str">
        <f t="shared" si="12"/>
        <v>'1342</v>
      </c>
      <c r="T154" s="49">
        <v>7008</v>
      </c>
      <c r="U154" s="49"/>
      <c r="V154" s="24"/>
      <c r="W154" s="24"/>
      <c r="X154" s="23">
        <f>P152</f>
        <v>0</v>
      </c>
      <c r="Y154" s="51" t="s">
        <v>72</v>
      </c>
    </row>
    <row r="155" spans="1:25" ht="7.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R155" s="22" t="str">
        <f t="shared" si="11"/>
        <v>20/21</v>
      </c>
      <c r="S155" s="4" t="str">
        <f t="shared" si="12"/>
        <v>'1342</v>
      </c>
      <c r="T155" s="23" t="s">
        <v>73</v>
      </c>
      <c r="U155" s="23"/>
      <c r="V155" s="24"/>
      <c r="W155" s="24"/>
      <c r="X155" s="23">
        <f>+M152</f>
        <v>0</v>
      </c>
      <c r="Y155" s="25" t="s">
        <v>74</v>
      </c>
    </row>
    <row r="156" spans="1:25" ht="7.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R156" s="22" t="str">
        <f t="shared" si="11"/>
        <v>20/21</v>
      </c>
      <c r="S156" s="4" t="str">
        <f t="shared" si="12"/>
        <v>'1342</v>
      </c>
      <c r="T156" s="23" t="s">
        <v>75</v>
      </c>
      <c r="U156" s="23">
        <f>+H146</f>
        <v>0</v>
      </c>
      <c r="V156" s="24"/>
      <c r="W156" s="24"/>
      <c r="X156" s="23"/>
      <c r="Y156" s="25" t="s">
        <v>76</v>
      </c>
    </row>
    <row r="157" spans="1:25" ht="16.5" customHeight="1">
      <c r="A157" s="20" t="s">
        <v>19</v>
      </c>
      <c r="B157" s="20" t="s">
        <v>95</v>
      </c>
      <c r="C157" s="21" t="s">
        <v>96</v>
      </c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R157" s="22" t="str">
        <f t="shared" si="11"/>
        <v>20/21</v>
      </c>
      <c r="S157" s="69" t="str">
        <f>+B157</f>
        <v>'1375</v>
      </c>
      <c r="T157" s="23">
        <v>7014</v>
      </c>
      <c r="U157" s="23"/>
      <c r="V157" s="24">
        <f>J161</f>
        <v>0</v>
      </c>
      <c r="W157" s="24"/>
      <c r="X157" s="24"/>
      <c r="Y157" s="70" t="s">
        <v>22</v>
      </c>
    </row>
    <row r="158" spans="1:25" ht="6" customHeight="1">
      <c r="A158" s="26"/>
      <c r="B158" s="27"/>
      <c r="C158" s="28"/>
      <c r="D158" s="28"/>
      <c r="E158" s="28"/>
      <c r="F158" s="28"/>
      <c r="G158" s="4"/>
      <c r="H158" s="4"/>
      <c r="I158" s="29"/>
      <c r="J158" s="4"/>
      <c r="K158" s="4"/>
      <c r="L158" s="71"/>
      <c r="M158" s="4"/>
      <c r="N158" s="4"/>
      <c r="O158" s="4"/>
      <c r="P158" s="4"/>
      <c r="R158" s="22" t="str">
        <f t="shared" si="11"/>
        <v>20/21</v>
      </c>
      <c r="S158" s="69" t="str">
        <f t="shared" ref="S158:S171" si="13">+S157</f>
        <v>'1375</v>
      </c>
      <c r="T158" s="24"/>
      <c r="U158" s="24"/>
      <c r="V158" s="32">
        <f>M161</f>
        <v>0</v>
      </c>
      <c r="W158" s="24"/>
      <c r="X158" s="24"/>
      <c r="Y158" s="72" t="s">
        <v>23</v>
      </c>
    </row>
    <row r="159" spans="1:25" ht="11.25" customHeight="1">
      <c r="A159" s="36"/>
      <c r="B159" s="200" t="s">
        <v>27</v>
      </c>
      <c r="C159" s="205" t="s">
        <v>28</v>
      </c>
      <c r="D159" s="205"/>
      <c r="E159" s="205" t="s">
        <v>29</v>
      </c>
      <c r="F159" s="205"/>
      <c r="G159" s="36"/>
      <c r="H159" s="205" t="s">
        <v>30</v>
      </c>
      <c r="I159" s="4"/>
      <c r="J159" s="206" t="s">
        <v>31</v>
      </c>
      <c r="K159" s="207"/>
      <c r="L159" s="202"/>
      <c r="M159" s="208"/>
      <c r="N159" s="38"/>
      <c r="O159" s="4"/>
      <c r="P159" s="206" t="s">
        <v>32</v>
      </c>
      <c r="R159" s="22" t="str">
        <f t="shared" si="11"/>
        <v>20/21</v>
      </c>
      <c r="S159" s="69" t="str">
        <f t="shared" si="13"/>
        <v>'1375</v>
      </c>
      <c r="T159" s="23" t="s">
        <v>33</v>
      </c>
      <c r="U159" s="23"/>
      <c r="V159" s="23">
        <f>+B161</f>
        <v>11028</v>
      </c>
      <c r="W159" s="39" t="str">
        <f>+H167</f>
        <v/>
      </c>
      <c r="X159" s="23">
        <f>B167+C167</f>
        <v>0</v>
      </c>
      <c r="Y159" s="70" t="s">
        <v>34</v>
      </c>
    </row>
    <row r="160" spans="1:25" ht="12" customHeight="1">
      <c r="A160" s="36"/>
      <c r="B160" s="200"/>
      <c r="C160" s="40" t="s">
        <v>36</v>
      </c>
      <c r="D160" s="40" t="s">
        <v>37</v>
      </c>
      <c r="E160" s="40" t="s">
        <v>36</v>
      </c>
      <c r="F160" s="40" t="s">
        <v>37</v>
      </c>
      <c r="G160" s="36"/>
      <c r="H160" s="205"/>
      <c r="I160" s="4"/>
      <c r="J160" s="206"/>
      <c r="K160" s="207"/>
      <c r="L160" s="202"/>
      <c r="M160" s="208"/>
      <c r="N160" s="38"/>
      <c r="O160" s="4"/>
      <c r="P160" s="206"/>
      <c r="R160" s="22" t="str">
        <f t="shared" si="11"/>
        <v>20/21</v>
      </c>
      <c r="S160" s="69" t="str">
        <f t="shared" si="13"/>
        <v>'1375</v>
      </c>
      <c r="T160" s="23" t="s">
        <v>38</v>
      </c>
      <c r="U160" s="23"/>
      <c r="V160" s="73"/>
      <c r="W160" s="39" t="str">
        <f>H168</f>
        <v/>
      </c>
      <c r="X160" s="23">
        <f>B168+C168</f>
        <v>0</v>
      </c>
      <c r="Y160" s="70" t="s">
        <v>39</v>
      </c>
    </row>
    <row r="161" spans="1:25" ht="16.5" customHeight="1">
      <c r="A161" s="200" t="s">
        <v>40</v>
      </c>
      <c r="B161" s="201">
        <v>11028</v>
      </c>
      <c r="C161" s="42"/>
      <c r="D161" s="42"/>
      <c r="E161" s="42"/>
      <c r="F161" s="42"/>
      <c r="G161" s="43" t="str">
        <f>IF(SUM(C162:F162)=0,"",IF(SUM(C161:F161)&lt;1,"&lt;100%",IF(SUM(C161:F161)&gt;1,"&gt;100%","OK")))</f>
        <v/>
      </c>
      <c r="H161" s="44"/>
      <c r="I161" s="4"/>
      <c r="J161" s="45">
        <f>'Leite - Produção'!S20</f>
        <v>0</v>
      </c>
      <c r="K161" s="46"/>
      <c r="L161" s="202"/>
      <c r="M161" s="47"/>
      <c r="N161" s="31"/>
      <c r="O161" s="4"/>
      <c r="P161" s="48" t="e">
        <f>SUM(F162+D162)/H161</f>
        <v>#DIV/0!</v>
      </c>
      <c r="R161" s="22" t="str">
        <f t="shared" si="11"/>
        <v>20/21</v>
      </c>
      <c r="S161" s="69" t="str">
        <f t="shared" si="13"/>
        <v>'1375</v>
      </c>
      <c r="T161" s="49">
        <v>7590</v>
      </c>
      <c r="U161" s="49"/>
      <c r="V161" s="73"/>
      <c r="W161" s="50">
        <f>+G167</f>
        <v>0</v>
      </c>
      <c r="X161" s="23">
        <f>D167</f>
        <v>0</v>
      </c>
      <c r="Y161" s="74" t="s">
        <v>41</v>
      </c>
    </row>
    <row r="162" spans="1:25" ht="16.5" customHeight="1">
      <c r="A162" s="200"/>
      <c r="B162" s="201"/>
      <c r="C162" s="52">
        <f>+C161*B161</f>
        <v>0</v>
      </c>
      <c r="D162" s="52">
        <f>+D161*B161</f>
        <v>0</v>
      </c>
      <c r="E162" s="52">
        <f>+E161*B161</f>
        <v>0</v>
      </c>
      <c r="F162" s="52">
        <f>+F161*B161</f>
        <v>0</v>
      </c>
      <c r="G162" s="36"/>
      <c r="H162" s="36"/>
      <c r="I162" s="4"/>
      <c r="J162" s="36"/>
      <c r="K162" s="53"/>
      <c r="L162" s="202"/>
      <c r="M162" s="31"/>
      <c r="N162" s="31"/>
      <c r="O162" s="36" t="s">
        <v>97</v>
      </c>
      <c r="P162" s="36"/>
      <c r="R162" s="22" t="str">
        <f t="shared" si="11"/>
        <v>20/21</v>
      </c>
      <c r="S162" s="69" t="str">
        <f t="shared" si="13"/>
        <v>'1375</v>
      </c>
      <c r="T162" s="23" t="s">
        <v>42</v>
      </c>
      <c r="U162" s="23"/>
      <c r="V162" s="73"/>
      <c r="W162" s="73"/>
      <c r="X162" s="23">
        <f>K167</f>
        <v>0</v>
      </c>
      <c r="Y162" s="70" t="s">
        <v>43</v>
      </c>
    </row>
    <row r="163" spans="1:25" ht="4.5" customHeight="1">
      <c r="A163" s="55"/>
      <c r="B163" s="56"/>
      <c r="C163" s="57"/>
      <c r="D163" s="57"/>
      <c r="E163" s="57"/>
      <c r="F163" s="57"/>
      <c r="G163" s="57"/>
      <c r="H163" s="36"/>
      <c r="I163" s="29"/>
      <c r="J163" s="36"/>
      <c r="K163" s="36"/>
      <c r="L163" s="75"/>
      <c r="M163" s="36"/>
      <c r="N163" s="36"/>
      <c r="O163" s="36"/>
      <c r="P163" s="36"/>
      <c r="R163" s="22" t="str">
        <f t="shared" si="11"/>
        <v>20/21</v>
      </c>
      <c r="S163" s="69" t="str">
        <f t="shared" si="13"/>
        <v>'1375</v>
      </c>
      <c r="T163" s="23" t="s">
        <v>44</v>
      </c>
      <c r="U163" s="23"/>
      <c r="V163" s="73"/>
      <c r="W163" s="73"/>
      <c r="X163" s="23">
        <f>K168</f>
        <v>0</v>
      </c>
      <c r="Y163" s="70" t="s">
        <v>45</v>
      </c>
    </row>
    <row r="164" spans="1:25" ht="16.5" customHeight="1">
      <c r="A164" s="203" t="s">
        <v>46</v>
      </c>
      <c r="B164" s="204" t="s">
        <v>47</v>
      </c>
      <c r="C164" s="204"/>
      <c r="D164" s="204"/>
      <c r="E164" s="204" t="s">
        <v>48</v>
      </c>
      <c r="F164" s="204"/>
      <c r="G164" s="204"/>
      <c r="H164" s="205" t="s">
        <v>49</v>
      </c>
      <c r="I164" s="4"/>
      <c r="J164" s="203" t="s">
        <v>46</v>
      </c>
      <c r="K164" s="204" t="s">
        <v>50</v>
      </c>
      <c r="L164" s="204"/>
      <c r="M164" s="204"/>
      <c r="N164" s="200" t="s">
        <v>51</v>
      </c>
      <c r="O164" s="200"/>
      <c r="P164" s="200"/>
      <c r="R164" s="22" t="str">
        <f t="shared" si="11"/>
        <v>20/21</v>
      </c>
      <c r="S164" s="69" t="str">
        <f t="shared" si="13"/>
        <v>'1375</v>
      </c>
      <c r="T164" s="23" t="s">
        <v>52</v>
      </c>
      <c r="U164" s="23"/>
      <c r="V164" s="73"/>
      <c r="W164" s="73"/>
      <c r="X164" s="23">
        <f>L167</f>
        <v>0</v>
      </c>
      <c r="Y164" s="70" t="s">
        <v>53</v>
      </c>
    </row>
    <row r="165" spans="1:25" ht="16.5" customHeight="1">
      <c r="A165" s="203"/>
      <c r="B165" s="198" t="s">
        <v>54</v>
      </c>
      <c r="C165" s="198" t="s">
        <v>55</v>
      </c>
      <c r="D165" s="198" t="s">
        <v>56</v>
      </c>
      <c r="E165" s="198" t="s">
        <v>54</v>
      </c>
      <c r="F165" s="198" t="s">
        <v>55</v>
      </c>
      <c r="G165" s="198" t="s">
        <v>56</v>
      </c>
      <c r="H165" s="205"/>
      <c r="I165" s="4"/>
      <c r="J165" s="203"/>
      <c r="K165" s="199" t="s">
        <v>57</v>
      </c>
      <c r="L165" s="199" t="s">
        <v>58</v>
      </c>
      <c r="M165" s="199" t="s">
        <v>59</v>
      </c>
      <c r="N165" s="200"/>
      <c r="O165" s="200"/>
      <c r="P165" s="200"/>
      <c r="R165" s="22" t="str">
        <f t="shared" si="11"/>
        <v>20/21</v>
      </c>
      <c r="S165" s="69" t="str">
        <f t="shared" si="13"/>
        <v>'1375</v>
      </c>
      <c r="T165" s="23" t="s">
        <v>60</v>
      </c>
      <c r="U165" s="23"/>
      <c r="V165" s="24"/>
      <c r="W165" s="24"/>
      <c r="X165" s="23">
        <f>+L168</f>
        <v>0</v>
      </c>
      <c r="Y165" s="70" t="s">
        <v>61</v>
      </c>
    </row>
    <row r="166" spans="1:25" ht="18" customHeight="1">
      <c r="A166" s="203"/>
      <c r="B166" s="198"/>
      <c r="C166" s="198"/>
      <c r="D166" s="198"/>
      <c r="E166" s="198"/>
      <c r="F166" s="198"/>
      <c r="G166" s="198"/>
      <c r="H166" s="205"/>
      <c r="I166" s="4"/>
      <c r="J166" s="203"/>
      <c r="K166" s="199"/>
      <c r="L166" s="199"/>
      <c r="M166" s="199"/>
      <c r="N166" s="60" t="s">
        <v>62</v>
      </c>
      <c r="O166" s="60" t="s">
        <v>63</v>
      </c>
      <c r="P166" s="60" t="s">
        <v>64</v>
      </c>
      <c r="R166" s="22" t="str">
        <f t="shared" si="11"/>
        <v>20/21</v>
      </c>
      <c r="S166" s="69" t="str">
        <f t="shared" si="13"/>
        <v>'1375</v>
      </c>
      <c r="T166" s="23" t="s">
        <v>65</v>
      </c>
      <c r="U166" s="23"/>
      <c r="V166" s="24"/>
      <c r="W166" s="24"/>
      <c r="X166" s="23">
        <f>+M168</f>
        <v>0</v>
      </c>
      <c r="Y166" s="70" t="s">
        <v>66</v>
      </c>
    </row>
    <row r="167" spans="1:25" ht="16.5" customHeight="1">
      <c r="A167" s="60" t="s">
        <v>67</v>
      </c>
      <c r="B167" s="61"/>
      <c r="C167" s="61"/>
      <c r="D167" s="61"/>
      <c r="E167" s="61"/>
      <c r="F167" s="61"/>
      <c r="G167" s="61"/>
      <c r="H167" s="62" t="str">
        <f>IF(B167="","",((E167*B167+F167*C167)/SUM(B167:C167)))</f>
        <v/>
      </c>
      <c r="I167" s="4"/>
      <c r="J167" s="60" t="s">
        <v>67</v>
      </c>
      <c r="K167" s="61"/>
      <c r="L167" s="61"/>
      <c r="M167" s="61"/>
      <c r="N167" s="61"/>
      <c r="O167" s="61"/>
      <c r="P167" s="61"/>
      <c r="R167" s="22" t="str">
        <f t="shared" si="11"/>
        <v>20/21</v>
      </c>
      <c r="S167" s="69" t="str">
        <f t="shared" si="13"/>
        <v>'1375</v>
      </c>
      <c r="T167" s="49">
        <v>7006</v>
      </c>
      <c r="U167" s="49"/>
      <c r="V167" s="24"/>
      <c r="W167" s="24"/>
      <c r="X167" s="23">
        <f>N167</f>
        <v>0</v>
      </c>
      <c r="Y167" s="74" t="s">
        <v>68</v>
      </c>
    </row>
    <row r="168" spans="1:25" ht="16.5" customHeight="1">
      <c r="A168" s="60" t="s">
        <v>69</v>
      </c>
      <c r="B168" s="61"/>
      <c r="C168" s="61"/>
      <c r="D168" s="36"/>
      <c r="E168" s="61"/>
      <c r="F168" s="61"/>
      <c r="G168" s="64"/>
      <c r="H168" s="62" t="str">
        <f>IF(B168="","",((E168*B168+F168*C168)/SUM(B168:C168)))</f>
        <v/>
      </c>
      <c r="I168" s="4"/>
      <c r="J168" s="60" t="s">
        <v>69</v>
      </c>
      <c r="K168" s="61"/>
      <c r="L168" s="61"/>
      <c r="M168" s="65"/>
      <c r="N168" s="66"/>
      <c r="O168" s="66"/>
      <c r="P168" s="66"/>
      <c r="R168" s="22" t="str">
        <f t="shared" si="11"/>
        <v>20/21</v>
      </c>
      <c r="S168" s="69" t="str">
        <f t="shared" si="13"/>
        <v>'1375</v>
      </c>
      <c r="T168" s="49">
        <v>7007</v>
      </c>
      <c r="U168" s="49"/>
      <c r="V168" s="24"/>
      <c r="W168" s="24"/>
      <c r="X168" s="23">
        <f>O167</f>
        <v>0</v>
      </c>
      <c r="Y168" s="74" t="s">
        <v>70</v>
      </c>
    </row>
    <row r="169" spans="1:25" ht="18" customHeight="1">
      <c r="A169" s="37" t="s">
        <v>71</v>
      </c>
      <c r="B169" s="67">
        <f>IF(B161="","",(B168+B167)/B161)</f>
        <v>0</v>
      </c>
      <c r="C169" s="67">
        <f>IF(B161="","",(C168+C167)/B161)</f>
        <v>0</v>
      </c>
      <c r="D169" s="67">
        <f>IF(B161="","",(D168+D167)/B161)</f>
        <v>0</v>
      </c>
      <c r="E169" s="195" t="str">
        <f>IF(B161="","",IF(B169+C169+D169&gt;Bovinos!$AD$5," -&gt; índices (somados) acima da média",IF(B169+C169+D169&lt;Bovinos!$AD$4," -&gt; índices (somados) abaixo da média","")))</f>
        <v xml:space="preserve"> -&gt; índices (somados) abaixo da média</v>
      </c>
      <c r="F169" s="195"/>
      <c r="G169" s="195"/>
      <c r="H169" s="195"/>
      <c r="I169" s="4"/>
      <c r="J169" s="37" t="s">
        <v>71</v>
      </c>
      <c r="K169" s="68">
        <f>IF(B161="","-",(K168+K167)/B161)</f>
        <v>0</v>
      </c>
      <c r="L169" s="68">
        <f>IF(B161="","-",(L168+L167)/B161)</f>
        <v>0</v>
      </c>
      <c r="M169" s="68">
        <f>IF(B161="","-",(M168+M167+O167+N167+P167)/B161)</f>
        <v>0</v>
      </c>
      <c r="N169" s="209" t="str">
        <f>IF(AND(K169="-",L169="-",M169="-"),"",IF(K169&gt;Bovinos!$AA$5," -&gt; índice(s) fora da faixa média",IF(K169&lt;Bovinos!$AA$4," -&gt; índice(s) fora da faixa média",IF(L169&gt;Bovinos!$AB$5," -&gt; índice(s) fora da faixa média",IF(L169&lt;Bovinos!$AB$4," -&gt; índice(s) fora da faixa média",IF(M169&gt;Bovinos!$AC$5," -&gt; índice(s) fora da faixa média",IF(M169&lt;Bovinos!$AC$4," -&gt; índice(s) fora da faixa média","")))))))</f>
        <v xml:space="preserve"> -&gt; índice(s) fora da faixa média</v>
      </c>
      <c r="O169" s="209"/>
      <c r="P169" s="209"/>
      <c r="R169" s="22" t="str">
        <f t="shared" si="11"/>
        <v>20/21</v>
      </c>
      <c r="S169" s="69" t="str">
        <f t="shared" si="13"/>
        <v>'1375</v>
      </c>
      <c r="T169" s="49">
        <v>7008</v>
      </c>
      <c r="U169" s="49"/>
      <c r="V169" s="24"/>
      <c r="W169" s="24"/>
      <c r="X169" s="23">
        <f>P167</f>
        <v>0</v>
      </c>
      <c r="Y169" s="74" t="s">
        <v>72</v>
      </c>
    </row>
    <row r="170" spans="1:25" ht="7.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R170" s="22" t="str">
        <f t="shared" si="11"/>
        <v>20/21</v>
      </c>
      <c r="S170" s="69" t="str">
        <f t="shared" si="13"/>
        <v>'1375</v>
      </c>
      <c r="T170" s="23" t="s">
        <v>73</v>
      </c>
      <c r="U170" s="23"/>
      <c r="V170" s="24"/>
      <c r="W170" s="18"/>
      <c r="X170" s="23">
        <f>+M167</f>
        <v>0</v>
      </c>
      <c r="Y170" s="70" t="s">
        <v>74</v>
      </c>
    </row>
    <row r="171" spans="1:25" ht="7.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R171" s="22" t="str">
        <f t="shared" si="11"/>
        <v>20/21</v>
      </c>
      <c r="S171" s="69" t="str">
        <f t="shared" si="13"/>
        <v>'1375</v>
      </c>
      <c r="T171" s="23" t="s">
        <v>75</v>
      </c>
      <c r="U171" s="23">
        <f>+H161</f>
        <v>0</v>
      </c>
      <c r="V171" s="24"/>
      <c r="W171" s="18"/>
      <c r="X171" s="23"/>
      <c r="Y171" s="70" t="s">
        <v>76</v>
      </c>
    </row>
    <row r="172" spans="1:25" ht="16.5" customHeight="1">
      <c r="A172" s="20" t="s">
        <v>19</v>
      </c>
      <c r="B172" s="20" t="s">
        <v>98</v>
      </c>
      <c r="C172" s="20" t="s">
        <v>99</v>
      </c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R172" s="22" t="str">
        <f t="shared" si="11"/>
        <v>20/21</v>
      </c>
      <c r="S172" s="69" t="str">
        <f>+B172</f>
        <v>'2217</v>
      </c>
      <c r="T172" s="23">
        <v>7014</v>
      </c>
      <c r="U172" s="23"/>
      <c r="V172" s="24">
        <f>J176</f>
        <v>0</v>
      </c>
      <c r="W172" s="24"/>
      <c r="X172" s="24"/>
      <c r="Y172" s="70" t="s">
        <v>22</v>
      </c>
    </row>
    <row r="173" spans="1:25" ht="6" customHeight="1">
      <c r="A173" s="26"/>
      <c r="B173" s="27"/>
      <c r="C173" s="28"/>
      <c r="D173" s="28"/>
      <c r="E173" s="28"/>
      <c r="F173" s="28"/>
      <c r="G173" s="4"/>
      <c r="H173" s="4"/>
      <c r="I173" s="29"/>
      <c r="J173" s="4"/>
      <c r="K173" s="4"/>
      <c r="L173" s="71"/>
      <c r="M173" s="4"/>
      <c r="N173" s="4"/>
      <c r="O173" s="4"/>
      <c r="P173" s="4"/>
      <c r="R173" s="22" t="str">
        <f t="shared" si="11"/>
        <v>20/21</v>
      </c>
      <c r="S173" s="69" t="str">
        <f t="shared" ref="S173:S186" si="14">+S172</f>
        <v>'2217</v>
      </c>
      <c r="T173" s="24"/>
      <c r="U173" s="24"/>
      <c r="V173" s="32">
        <f>M176</f>
        <v>0</v>
      </c>
      <c r="W173" s="24"/>
      <c r="X173" s="24"/>
      <c r="Y173" s="72" t="s">
        <v>23</v>
      </c>
    </row>
    <row r="174" spans="1:25" ht="11.25" customHeight="1">
      <c r="A174" s="36"/>
      <c r="B174" s="200" t="s">
        <v>27</v>
      </c>
      <c r="C174" s="205" t="s">
        <v>28</v>
      </c>
      <c r="D174" s="205"/>
      <c r="E174" s="205" t="s">
        <v>29</v>
      </c>
      <c r="F174" s="205"/>
      <c r="G174" s="36"/>
      <c r="H174" s="205" t="s">
        <v>30</v>
      </c>
      <c r="I174" s="4"/>
      <c r="J174" s="206" t="s">
        <v>31</v>
      </c>
      <c r="K174" s="207"/>
      <c r="L174" s="202"/>
      <c r="M174" s="208"/>
      <c r="N174" s="38"/>
      <c r="O174" s="4"/>
      <c r="P174" s="206" t="s">
        <v>32</v>
      </c>
      <c r="R174" s="22" t="str">
        <f t="shared" si="11"/>
        <v>20/21</v>
      </c>
      <c r="S174" s="69" t="str">
        <f t="shared" si="14"/>
        <v>'2217</v>
      </c>
      <c r="T174" s="23" t="s">
        <v>33</v>
      </c>
      <c r="U174" s="23"/>
      <c r="V174" s="23">
        <f>+B176</f>
        <v>13450</v>
      </c>
      <c r="W174" s="39" t="str">
        <f>+H182</f>
        <v/>
      </c>
      <c r="X174" s="23">
        <f>B182+C182</f>
        <v>0</v>
      </c>
      <c r="Y174" s="70" t="s">
        <v>34</v>
      </c>
    </row>
    <row r="175" spans="1:25" ht="12" customHeight="1">
      <c r="A175" s="36"/>
      <c r="B175" s="200"/>
      <c r="C175" s="40" t="s">
        <v>36</v>
      </c>
      <c r="D175" s="40" t="s">
        <v>37</v>
      </c>
      <c r="E175" s="40" t="s">
        <v>36</v>
      </c>
      <c r="F175" s="40" t="s">
        <v>37</v>
      </c>
      <c r="G175" s="36"/>
      <c r="H175" s="205"/>
      <c r="I175" s="4"/>
      <c r="J175" s="206"/>
      <c r="K175" s="207"/>
      <c r="L175" s="202"/>
      <c r="M175" s="208"/>
      <c r="N175" s="38"/>
      <c r="O175" s="4"/>
      <c r="P175" s="206"/>
      <c r="R175" s="22" t="str">
        <f t="shared" si="11"/>
        <v>20/21</v>
      </c>
      <c r="S175" s="69" t="str">
        <f t="shared" si="14"/>
        <v>'2217</v>
      </c>
      <c r="T175" s="23" t="s">
        <v>38</v>
      </c>
      <c r="U175" s="23"/>
      <c r="V175" s="73"/>
      <c r="W175" s="39" t="str">
        <f>H183</f>
        <v/>
      </c>
      <c r="X175" s="23">
        <f>B183+C183</f>
        <v>0</v>
      </c>
      <c r="Y175" s="70" t="s">
        <v>39</v>
      </c>
    </row>
    <row r="176" spans="1:25" ht="16.5" customHeight="1">
      <c r="A176" s="200" t="s">
        <v>40</v>
      </c>
      <c r="B176" s="201">
        <v>13450</v>
      </c>
      <c r="C176" s="42"/>
      <c r="D176" s="42"/>
      <c r="E176" s="42"/>
      <c r="F176" s="42"/>
      <c r="G176" s="43" t="str">
        <f>IF(SUM(C177:F177)=0,"",IF(SUM(C176:F176)&lt;1,"&lt;100%",IF(SUM(C176:F176)&gt;1,"&gt;100%","OK")))</f>
        <v/>
      </c>
      <c r="H176" s="44"/>
      <c r="I176" s="4"/>
      <c r="J176" s="76">
        <f>'Leite - Produção'!S21</f>
        <v>0</v>
      </c>
      <c r="K176" s="46"/>
      <c r="L176" s="202"/>
      <c r="M176" s="47"/>
      <c r="N176" s="31"/>
      <c r="O176" s="4"/>
      <c r="P176" s="48" t="e">
        <f>SUM(F177+D177)/H176</f>
        <v>#DIV/0!</v>
      </c>
      <c r="R176" s="22" t="str">
        <f t="shared" si="11"/>
        <v>20/21</v>
      </c>
      <c r="S176" s="69" t="str">
        <f t="shared" si="14"/>
        <v>'2217</v>
      </c>
      <c r="T176" s="49">
        <v>7590</v>
      </c>
      <c r="U176" s="49"/>
      <c r="V176" s="73"/>
      <c r="W176" s="50">
        <f>+G182</f>
        <v>0</v>
      </c>
      <c r="X176" s="23">
        <f>D182</f>
        <v>0</v>
      </c>
      <c r="Y176" s="74" t="s">
        <v>41</v>
      </c>
    </row>
    <row r="177" spans="1:25" ht="16.5" customHeight="1">
      <c r="A177" s="200"/>
      <c r="B177" s="201"/>
      <c r="C177" s="77">
        <f>+C176*B176</f>
        <v>0</v>
      </c>
      <c r="D177" s="77">
        <f>+D176*B176</f>
        <v>0</v>
      </c>
      <c r="E177" s="77">
        <f>+E176*B176</f>
        <v>0</v>
      </c>
      <c r="F177" s="77">
        <f>+F176*B176</f>
        <v>0</v>
      </c>
      <c r="G177" s="36"/>
      <c r="H177" s="36"/>
      <c r="I177" s="4"/>
      <c r="J177" s="36"/>
      <c r="K177" s="53"/>
      <c r="L177" s="202"/>
      <c r="M177" s="31"/>
      <c r="N177" s="31"/>
      <c r="O177" s="36"/>
      <c r="P177" s="36"/>
      <c r="R177" s="22" t="str">
        <f t="shared" si="11"/>
        <v>20/21</v>
      </c>
      <c r="S177" s="69" t="str">
        <f t="shared" si="14"/>
        <v>'2217</v>
      </c>
      <c r="T177" s="23" t="s">
        <v>42</v>
      </c>
      <c r="U177" s="23"/>
      <c r="V177" s="73"/>
      <c r="W177" s="73"/>
      <c r="X177" s="23">
        <f>K182</f>
        <v>0</v>
      </c>
      <c r="Y177" s="70" t="s">
        <v>43</v>
      </c>
    </row>
    <row r="178" spans="1:25" ht="4.5" customHeight="1">
      <c r="A178" s="55"/>
      <c r="B178" s="56"/>
      <c r="C178" s="78"/>
      <c r="D178" s="78"/>
      <c r="E178" s="78"/>
      <c r="F178" s="78"/>
      <c r="G178" s="78"/>
      <c r="H178" s="36"/>
      <c r="I178" s="29"/>
      <c r="J178" s="36"/>
      <c r="K178" s="36"/>
      <c r="L178" s="75"/>
      <c r="M178" s="36"/>
      <c r="N178" s="36"/>
      <c r="O178" s="36"/>
      <c r="P178" s="36"/>
      <c r="R178" s="22" t="str">
        <f t="shared" si="11"/>
        <v>20/21</v>
      </c>
      <c r="S178" s="69" t="str">
        <f t="shared" si="14"/>
        <v>'2217</v>
      </c>
      <c r="T178" s="23" t="s">
        <v>44</v>
      </c>
      <c r="U178" s="23"/>
      <c r="V178" s="73"/>
      <c r="W178" s="73"/>
      <c r="X178" s="23">
        <f>K183</f>
        <v>0</v>
      </c>
      <c r="Y178" s="70" t="s">
        <v>45</v>
      </c>
    </row>
    <row r="179" spans="1:25" ht="16.5" customHeight="1">
      <c r="A179" s="203" t="s">
        <v>46</v>
      </c>
      <c r="B179" s="204" t="s">
        <v>47</v>
      </c>
      <c r="C179" s="204"/>
      <c r="D179" s="204"/>
      <c r="E179" s="204" t="s">
        <v>48</v>
      </c>
      <c r="F179" s="204"/>
      <c r="G179" s="204"/>
      <c r="H179" s="205" t="s">
        <v>49</v>
      </c>
      <c r="I179" s="4"/>
      <c r="J179" s="203" t="s">
        <v>46</v>
      </c>
      <c r="K179" s="204" t="s">
        <v>50</v>
      </c>
      <c r="L179" s="204"/>
      <c r="M179" s="204"/>
      <c r="N179" s="197"/>
      <c r="O179" s="197"/>
      <c r="P179" s="197"/>
      <c r="R179" s="22" t="str">
        <f t="shared" si="11"/>
        <v>20/21</v>
      </c>
      <c r="S179" s="69" t="str">
        <f t="shared" si="14"/>
        <v>'2217</v>
      </c>
      <c r="T179" s="23" t="s">
        <v>52</v>
      </c>
      <c r="U179" s="23"/>
      <c r="V179" s="73"/>
      <c r="W179" s="73"/>
      <c r="X179" s="23">
        <f>L182</f>
        <v>0</v>
      </c>
      <c r="Y179" s="70" t="s">
        <v>53</v>
      </c>
    </row>
    <row r="180" spans="1:25" ht="16.5" customHeight="1">
      <c r="A180" s="203"/>
      <c r="B180" s="198" t="s">
        <v>54</v>
      </c>
      <c r="C180" s="198" t="s">
        <v>55</v>
      </c>
      <c r="D180" s="198" t="s">
        <v>56</v>
      </c>
      <c r="E180" s="198" t="s">
        <v>54</v>
      </c>
      <c r="F180" s="198" t="s">
        <v>55</v>
      </c>
      <c r="G180" s="198" t="s">
        <v>56</v>
      </c>
      <c r="H180" s="205"/>
      <c r="I180" s="4"/>
      <c r="J180" s="203"/>
      <c r="K180" s="199" t="s">
        <v>57</v>
      </c>
      <c r="L180" s="199" t="s">
        <v>58</v>
      </c>
      <c r="M180" s="199" t="s">
        <v>59</v>
      </c>
      <c r="N180" s="197"/>
      <c r="O180" s="197"/>
      <c r="P180" s="197"/>
      <c r="R180" s="22" t="str">
        <f t="shared" si="11"/>
        <v>20/21</v>
      </c>
      <c r="S180" s="69" t="str">
        <f t="shared" si="14"/>
        <v>'2217</v>
      </c>
      <c r="T180" s="23" t="s">
        <v>60</v>
      </c>
      <c r="U180" s="23"/>
      <c r="V180" s="24"/>
      <c r="W180" s="24"/>
      <c r="X180" s="23">
        <f>+L183</f>
        <v>0</v>
      </c>
      <c r="Y180" s="70" t="s">
        <v>61</v>
      </c>
    </row>
    <row r="181" spans="1:25" ht="18" customHeight="1">
      <c r="A181" s="203"/>
      <c r="B181" s="198"/>
      <c r="C181" s="198"/>
      <c r="D181" s="198"/>
      <c r="E181" s="198"/>
      <c r="F181" s="198"/>
      <c r="G181" s="198"/>
      <c r="H181" s="205"/>
      <c r="I181" s="4"/>
      <c r="J181" s="203"/>
      <c r="K181" s="199"/>
      <c r="L181" s="199"/>
      <c r="M181" s="199"/>
      <c r="N181" s="60"/>
      <c r="O181" s="60"/>
      <c r="P181" s="60"/>
      <c r="R181" s="22" t="str">
        <f t="shared" si="11"/>
        <v>20/21</v>
      </c>
      <c r="S181" s="69" t="str">
        <f t="shared" si="14"/>
        <v>'2217</v>
      </c>
      <c r="T181" s="23" t="s">
        <v>65</v>
      </c>
      <c r="U181" s="23"/>
      <c r="V181" s="24"/>
      <c r="W181" s="24"/>
      <c r="X181" s="23">
        <f>+M183</f>
        <v>0</v>
      </c>
      <c r="Y181" s="70" t="s">
        <v>66</v>
      </c>
    </row>
    <row r="182" spans="1:25" ht="16.5" customHeight="1">
      <c r="A182" s="60" t="s">
        <v>67</v>
      </c>
      <c r="B182" s="61"/>
      <c r="C182" s="61"/>
      <c r="D182" s="61"/>
      <c r="E182" s="61"/>
      <c r="F182" s="61"/>
      <c r="G182" s="61"/>
      <c r="H182" s="62" t="str">
        <f>IF(B182="","",((E182*B182+F182*C182)/SUM(B182:C182)))</f>
        <v/>
      </c>
      <c r="I182" s="4"/>
      <c r="J182" s="60" t="s">
        <v>67</v>
      </c>
      <c r="K182" s="61"/>
      <c r="L182" s="61"/>
      <c r="M182" s="61"/>
      <c r="N182" s="61"/>
      <c r="O182" s="61"/>
      <c r="P182" s="61"/>
      <c r="R182" s="22" t="str">
        <f t="shared" si="11"/>
        <v>20/21</v>
      </c>
      <c r="S182" s="69" t="str">
        <f t="shared" si="14"/>
        <v>'2217</v>
      </c>
      <c r="T182" s="49">
        <v>7006</v>
      </c>
      <c r="U182" s="49"/>
      <c r="V182" s="24"/>
      <c r="W182" s="24"/>
      <c r="X182" s="23">
        <f>N182</f>
        <v>0</v>
      </c>
      <c r="Y182" s="74" t="s">
        <v>68</v>
      </c>
    </row>
    <row r="183" spans="1:25" ht="16.5" customHeight="1">
      <c r="A183" s="60" t="s">
        <v>69</v>
      </c>
      <c r="B183" s="61"/>
      <c r="C183" s="61"/>
      <c r="D183" s="36"/>
      <c r="E183" s="61"/>
      <c r="F183" s="61"/>
      <c r="G183" s="64"/>
      <c r="H183" s="62" t="str">
        <f>IF(B183="","",((E183*B183+F183*C183)/SUM(B183:C183)))</f>
        <v/>
      </c>
      <c r="I183" s="4"/>
      <c r="J183" s="60" t="s">
        <v>69</v>
      </c>
      <c r="K183" s="61"/>
      <c r="L183" s="61"/>
      <c r="M183" s="65"/>
      <c r="N183" s="66"/>
      <c r="O183" s="66"/>
      <c r="P183" s="66"/>
      <c r="R183" s="22" t="str">
        <f t="shared" si="11"/>
        <v>20/21</v>
      </c>
      <c r="S183" s="69" t="str">
        <f t="shared" si="14"/>
        <v>'2217</v>
      </c>
      <c r="T183" s="49">
        <v>7007</v>
      </c>
      <c r="U183" s="49"/>
      <c r="V183" s="24"/>
      <c r="W183" s="24"/>
      <c r="X183" s="23">
        <f>O182</f>
        <v>0</v>
      </c>
      <c r="Y183" s="74" t="s">
        <v>70</v>
      </c>
    </row>
    <row r="184" spans="1:25" ht="18" customHeight="1">
      <c r="A184" s="37" t="s">
        <v>71</v>
      </c>
      <c r="B184" s="79">
        <f>IF(B176="","",(B183+B182)/B176)</f>
        <v>0</v>
      </c>
      <c r="C184" s="79">
        <f>IF(B176="","",(C183+C182)/B176)</f>
        <v>0</v>
      </c>
      <c r="D184" s="79">
        <f>IF(B176="","",(D183+D182)/B176)</f>
        <v>0</v>
      </c>
      <c r="E184" s="195" t="str">
        <f>IF(B176="","",IF(B184+C184+D184&gt;[1]Bovinos!$AD$5," -&gt; índices (somados) acima da média",IF(B184+C184+D184&lt;[1]Bovinos!$AD$4," -&gt; índices (somados) abaixo da média","")))</f>
        <v xml:space="preserve"> -&gt; índices (somados) abaixo da média</v>
      </c>
      <c r="F184" s="195"/>
      <c r="G184" s="195"/>
      <c r="H184" s="195"/>
      <c r="I184" s="4"/>
      <c r="J184" s="37" t="s">
        <v>71</v>
      </c>
      <c r="K184" s="80">
        <f>IF(B176="","-",(K183+K182)/B176)</f>
        <v>0</v>
      </c>
      <c r="L184" s="80">
        <f>IF(B176="","-",(L183+L182)/B176)</f>
        <v>0</v>
      </c>
      <c r="M184" s="80">
        <f>IF(B176="","-",(M183+M182+O182+N182+P182)/B176)</f>
        <v>0</v>
      </c>
      <c r="N184" s="195" t="str">
        <f>IF(AND(K184="-",L184="-",M184="-"),"",IF(K184&gt;Bovinos!$AA$5," -&gt; índice(s) fora da faixa média",IF(K184&lt;Bovinos!$AA$4," -&gt; índice(s) fora da faixa média",IF(L184&gt;Bovinos!$AB$5," -&gt; índice(s) fora da faixa média",IF(L184&lt;Bovinos!$AB$4," -&gt; índice(s) fora da faixa média",IF(M184&gt;Bovinos!$AC$5," -&gt; índice(s) fora da faixa média",IF(M184&lt;Bovinos!$AC$4," -&gt; índice(s) fora da faixa média","")))))))</f>
        <v xml:space="preserve"> -&gt; índice(s) fora da faixa média</v>
      </c>
      <c r="O184" s="195"/>
      <c r="P184" s="195"/>
      <c r="R184" s="22" t="str">
        <f t="shared" si="11"/>
        <v>20/21</v>
      </c>
      <c r="S184" s="69" t="str">
        <f t="shared" si="14"/>
        <v>'2217</v>
      </c>
      <c r="T184" s="49">
        <v>7008</v>
      </c>
      <c r="U184" s="49"/>
      <c r="V184" s="24"/>
      <c r="W184" s="24"/>
      <c r="X184" s="23">
        <f>P182</f>
        <v>0</v>
      </c>
      <c r="Y184" s="74" t="s">
        <v>72</v>
      </c>
    </row>
    <row r="185" spans="1:25" ht="7.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R185" s="22" t="str">
        <f t="shared" si="11"/>
        <v>20/21</v>
      </c>
      <c r="S185" s="69" t="str">
        <f t="shared" si="14"/>
        <v>'2217</v>
      </c>
      <c r="T185" s="23" t="s">
        <v>73</v>
      </c>
      <c r="U185" s="23"/>
      <c r="V185" s="24"/>
      <c r="W185" s="18"/>
      <c r="X185" s="23">
        <f>+M182</f>
        <v>0</v>
      </c>
      <c r="Y185" s="70" t="s">
        <v>74</v>
      </c>
    </row>
    <row r="186" spans="1:25" ht="7.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R186" s="22" t="str">
        <f t="shared" si="11"/>
        <v>20/21</v>
      </c>
      <c r="S186" s="69" t="str">
        <f t="shared" si="14"/>
        <v>'2217</v>
      </c>
      <c r="T186" s="23" t="s">
        <v>75</v>
      </c>
      <c r="U186" s="23">
        <f>+H176</f>
        <v>0</v>
      </c>
      <c r="V186" s="24"/>
      <c r="W186" s="18"/>
      <c r="X186" s="23"/>
      <c r="Y186" s="70" t="s">
        <v>76</v>
      </c>
    </row>
    <row r="187" spans="1:25" ht="16.5" customHeight="1">
      <c r="A187" s="20" t="s">
        <v>19</v>
      </c>
      <c r="B187" s="20" t="s">
        <v>100</v>
      </c>
      <c r="C187" s="20" t="s">
        <v>101</v>
      </c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R187" s="22" t="str">
        <f t="shared" si="11"/>
        <v>20/21</v>
      </c>
      <c r="S187" s="4" t="str">
        <f>+B187</f>
        <v>'2265</v>
      </c>
      <c r="T187" s="23">
        <v>7014</v>
      </c>
      <c r="U187" s="23"/>
      <c r="V187" s="24">
        <f>J191</f>
        <v>0</v>
      </c>
      <c r="W187" s="24"/>
      <c r="X187" s="24"/>
      <c r="Y187" s="25" t="s">
        <v>22</v>
      </c>
    </row>
    <row r="188" spans="1:25" ht="6" customHeight="1">
      <c r="A188" s="26"/>
      <c r="B188" s="27"/>
      <c r="C188" s="28"/>
      <c r="D188" s="28"/>
      <c r="E188" s="28"/>
      <c r="F188" s="28"/>
      <c r="G188" s="4"/>
      <c r="H188" s="4"/>
      <c r="I188" s="29"/>
      <c r="J188" s="4"/>
      <c r="K188" s="4"/>
      <c r="L188" s="71"/>
      <c r="M188" s="4"/>
      <c r="N188" s="4"/>
      <c r="O188" s="4"/>
      <c r="P188" s="4"/>
      <c r="R188" s="22" t="str">
        <f t="shared" si="11"/>
        <v>20/21</v>
      </c>
      <c r="S188" s="4" t="str">
        <f t="shared" ref="S188:S201" si="15">+S187</f>
        <v>'2265</v>
      </c>
      <c r="T188" s="24"/>
      <c r="U188" s="24"/>
      <c r="V188" s="32">
        <f>M191</f>
        <v>0</v>
      </c>
      <c r="W188" s="24"/>
      <c r="X188" s="24"/>
      <c r="Y188" s="24" t="s">
        <v>23</v>
      </c>
    </row>
    <row r="189" spans="1:25" ht="11.25" customHeight="1">
      <c r="A189" s="36"/>
      <c r="B189" s="200" t="s">
        <v>27</v>
      </c>
      <c r="C189" s="205" t="s">
        <v>28</v>
      </c>
      <c r="D189" s="205"/>
      <c r="E189" s="205" t="s">
        <v>29</v>
      </c>
      <c r="F189" s="205"/>
      <c r="G189" s="36"/>
      <c r="H189" s="205" t="s">
        <v>30</v>
      </c>
      <c r="I189" s="4"/>
      <c r="J189" s="206" t="s">
        <v>31</v>
      </c>
      <c r="K189" s="207"/>
      <c r="L189" s="202"/>
      <c r="M189" s="208"/>
      <c r="N189" s="38"/>
      <c r="O189" s="4"/>
      <c r="P189" s="206" t="s">
        <v>32</v>
      </c>
      <c r="R189" s="22" t="str">
        <f t="shared" si="11"/>
        <v>20/21</v>
      </c>
      <c r="S189" s="4" t="str">
        <f t="shared" si="15"/>
        <v>'2265</v>
      </c>
      <c r="T189" s="23" t="s">
        <v>33</v>
      </c>
      <c r="U189" s="23"/>
      <c r="V189" s="23">
        <f>+B191</f>
        <v>45979</v>
      </c>
      <c r="W189" s="39" t="str">
        <f>+H197</f>
        <v/>
      </c>
      <c r="X189" s="23">
        <f>B197+C197</f>
        <v>0</v>
      </c>
      <c r="Y189" s="25" t="s">
        <v>34</v>
      </c>
    </row>
    <row r="190" spans="1:25" ht="12" customHeight="1">
      <c r="A190" s="36"/>
      <c r="B190" s="200"/>
      <c r="C190" s="40" t="s">
        <v>36</v>
      </c>
      <c r="D190" s="40" t="s">
        <v>37</v>
      </c>
      <c r="E190" s="40" t="s">
        <v>36</v>
      </c>
      <c r="F190" s="40" t="s">
        <v>37</v>
      </c>
      <c r="G190" s="36"/>
      <c r="H190" s="205"/>
      <c r="I190" s="4"/>
      <c r="J190" s="206"/>
      <c r="K190" s="207"/>
      <c r="L190" s="202"/>
      <c r="M190" s="208"/>
      <c r="N190" s="38"/>
      <c r="O190" s="4"/>
      <c r="P190" s="206"/>
      <c r="R190" s="22" t="str">
        <f t="shared" si="11"/>
        <v>20/21</v>
      </c>
      <c r="S190" s="4" t="str">
        <f t="shared" si="15"/>
        <v>'2265</v>
      </c>
      <c r="T190" s="23" t="s">
        <v>38</v>
      </c>
      <c r="U190" s="23"/>
      <c r="V190" s="41"/>
      <c r="W190" s="39" t="str">
        <f>H198</f>
        <v/>
      </c>
      <c r="X190" s="23">
        <f>B198+C198</f>
        <v>0</v>
      </c>
      <c r="Y190" s="25" t="s">
        <v>39</v>
      </c>
    </row>
    <row r="191" spans="1:25" ht="16.5" customHeight="1">
      <c r="A191" s="200" t="s">
        <v>40</v>
      </c>
      <c r="B191" s="201">
        <v>45979</v>
      </c>
      <c r="C191" s="42"/>
      <c r="D191" s="42"/>
      <c r="E191" s="42"/>
      <c r="F191" s="42"/>
      <c r="G191" s="43" t="str">
        <f>IF(SUM(C192:F192)=0,"",IF(SUM(C191:F191)&lt;1,"&lt;100%",IF(SUM(C191:F191)&gt;1,"&gt;100%","OK")))</f>
        <v/>
      </c>
      <c r="H191" s="44"/>
      <c r="I191" s="4"/>
      <c r="J191" s="76">
        <f>'Leite - Produção'!S22</f>
        <v>0</v>
      </c>
      <c r="K191" s="46"/>
      <c r="L191" s="202"/>
      <c r="M191" s="47"/>
      <c r="N191" s="31"/>
      <c r="O191" s="4"/>
      <c r="P191" s="48" t="e">
        <f>SUM(F192+D192)/H191</f>
        <v>#DIV/0!</v>
      </c>
      <c r="R191" s="22" t="str">
        <f t="shared" si="11"/>
        <v>20/21</v>
      </c>
      <c r="S191" s="4" t="str">
        <f t="shared" si="15"/>
        <v>'2265</v>
      </c>
      <c r="T191" s="49">
        <v>7590</v>
      </c>
      <c r="U191" s="49"/>
      <c r="V191" s="41"/>
      <c r="W191" s="50">
        <f>+G197</f>
        <v>0</v>
      </c>
      <c r="X191" s="23">
        <f>D197</f>
        <v>0</v>
      </c>
      <c r="Y191" s="51" t="s">
        <v>41</v>
      </c>
    </row>
    <row r="192" spans="1:25" ht="16.5" customHeight="1">
      <c r="A192" s="200"/>
      <c r="B192" s="201"/>
      <c r="C192" s="77">
        <f>+C191*B191</f>
        <v>0</v>
      </c>
      <c r="D192" s="77">
        <f>+D191*B191</f>
        <v>0</v>
      </c>
      <c r="E192" s="77">
        <f>+E191*B191</f>
        <v>0</v>
      </c>
      <c r="F192" s="77">
        <f>+F191*B191</f>
        <v>0</v>
      </c>
      <c r="G192" s="36"/>
      <c r="H192" s="36"/>
      <c r="I192" s="4"/>
      <c r="J192" s="36"/>
      <c r="K192" s="53"/>
      <c r="L192" s="202"/>
      <c r="M192" s="31"/>
      <c r="N192" s="31"/>
      <c r="O192" s="36"/>
      <c r="P192" s="36"/>
      <c r="R192" s="22" t="str">
        <f t="shared" si="11"/>
        <v>20/21</v>
      </c>
      <c r="S192" s="4" t="str">
        <f t="shared" si="15"/>
        <v>'2265</v>
      </c>
      <c r="T192" s="23" t="s">
        <v>42</v>
      </c>
      <c r="U192" s="23"/>
      <c r="V192" s="41"/>
      <c r="W192" s="41"/>
      <c r="X192" s="23">
        <f>K197</f>
        <v>0</v>
      </c>
      <c r="Y192" s="25" t="s">
        <v>43</v>
      </c>
    </row>
    <row r="193" spans="1:25" ht="4.5" customHeight="1">
      <c r="A193" s="55"/>
      <c r="B193" s="56"/>
      <c r="C193" s="78"/>
      <c r="D193" s="78"/>
      <c r="E193" s="78"/>
      <c r="F193" s="78"/>
      <c r="G193" s="78"/>
      <c r="H193" s="36"/>
      <c r="I193" s="29"/>
      <c r="J193" s="36"/>
      <c r="K193" s="36"/>
      <c r="L193" s="75"/>
      <c r="M193" s="36"/>
      <c r="N193" s="36"/>
      <c r="O193" s="36"/>
      <c r="P193" s="36"/>
      <c r="R193" s="22" t="str">
        <f t="shared" si="11"/>
        <v>20/21</v>
      </c>
      <c r="S193" s="4" t="str">
        <f t="shared" si="15"/>
        <v>'2265</v>
      </c>
      <c r="T193" s="23" t="s">
        <v>44</v>
      </c>
      <c r="U193" s="23"/>
      <c r="V193" s="41"/>
      <c r="W193" s="41"/>
      <c r="X193" s="23">
        <f>K198</f>
        <v>0</v>
      </c>
      <c r="Y193" s="25" t="s">
        <v>45</v>
      </c>
    </row>
    <row r="194" spans="1:25" ht="16.5" customHeight="1">
      <c r="A194" s="203" t="s">
        <v>46</v>
      </c>
      <c r="B194" s="204" t="s">
        <v>47</v>
      </c>
      <c r="C194" s="204"/>
      <c r="D194" s="204"/>
      <c r="E194" s="204" t="s">
        <v>48</v>
      </c>
      <c r="F194" s="204"/>
      <c r="G194" s="204"/>
      <c r="H194" s="205" t="s">
        <v>49</v>
      </c>
      <c r="I194" s="4"/>
      <c r="J194" s="203" t="s">
        <v>46</v>
      </c>
      <c r="K194" s="204" t="s">
        <v>50</v>
      </c>
      <c r="L194" s="204"/>
      <c r="M194" s="204"/>
      <c r="N194" s="197"/>
      <c r="O194" s="197"/>
      <c r="P194" s="197"/>
      <c r="R194" s="22" t="str">
        <f t="shared" si="11"/>
        <v>20/21</v>
      </c>
      <c r="S194" s="4" t="str">
        <f t="shared" si="15"/>
        <v>'2265</v>
      </c>
      <c r="T194" s="23" t="s">
        <v>52</v>
      </c>
      <c r="U194" s="23"/>
      <c r="V194" s="41"/>
      <c r="W194" s="41"/>
      <c r="X194" s="23">
        <f>L197</f>
        <v>0</v>
      </c>
      <c r="Y194" s="25" t="s">
        <v>53</v>
      </c>
    </row>
    <row r="195" spans="1:25" ht="16.5" customHeight="1">
      <c r="A195" s="203"/>
      <c r="B195" s="198" t="s">
        <v>54</v>
      </c>
      <c r="C195" s="198" t="s">
        <v>55</v>
      </c>
      <c r="D195" s="198" t="s">
        <v>56</v>
      </c>
      <c r="E195" s="198" t="s">
        <v>54</v>
      </c>
      <c r="F195" s="198" t="s">
        <v>55</v>
      </c>
      <c r="G195" s="198" t="s">
        <v>56</v>
      </c>
      <c r="H195" s="205"/>
      <c r="I195" s="4"/>
      <c r="J195" s="203"/>
      <c r="K195" s="199" t="s">
        <v>57</v>
      </c>
      <c r="L195" s="199" t="s">
        <v>58</v>
      </c>
      <c r="M195" s="199" t="s">
        <v>59</v>
      </c>
      <c r="N195" s="197"/>
      <c r="O195" s="197"/>
      <c r="P195" s="197"/>
      <c r="R195" s="22" t="str">
        <f t="shared" si="11"/>
        <v>20/21</v>
      </c>
      <c r="S195" s="4" t="str">
        <f t="shared" si="15"/>
        <v>'2265</v>
      </c>
      <c r="T195" s="23" t="s">
        <v>60</v>
      </c>
      <c r="U195" s="23"/>
      <c r="V195" s="24"/>
      <c r="W195" s="24"/>
      <c r="X195" s="23">
        <f>+L198</f>
        <v>0</v>
      </c>
      <c r="Y195" s="25" t="s">
        <v>61</v>
      </c>
    </row>
    <row r="196" spans="1:25" ht="18" customHeight="1">
      <c r="A196" s="203"/>
      <c r="B196" s="198"/>
      <c r="C196" s="198"/>
      <c r="D196" s="198"/>
      <c r="E196" s="198"/>
      <c r="F196" s="198"/>
      <c r="G196" s="198"/>
      <c r="H196" s="205"/>
      <c r="I196" s="4"/>
      <c r="J196" s="203"/>
      <c r="K196" s="199"/>
      <c r="L196" s="199"/>
      <c r="M196" s="199"/>
      <c r="N196" s="60"/>
      <c r="O196" s="60"/>
      <c r="P196" s="60"/>
      <c r="R196" s="22" t="str">
        <f t="shared" si="11"/>
        <v>20/21</v>
      </c>
      <c r="S196" s="4" t="str">
        <f t="shared" si="15"/>
        <v>'2265</v>
      </c>
      <c r="T196" s="23" t="s">
        <v>65</v>
      </c>
      <c r="U196" s="23"/>
      <c r="V196" s="24"/>
      <c r="W196" s="24"/>
      <c r="X196" s="23">
        <f>+M198</f>
        <v>0</v>
      </c>
      <c r="Y196" s="25" t="s">
        <v>66</v>
      </c>
    </row>
    <row r="197" spans="1:25" ht="16.5" customHeight="1">
      <c r="A197" s="60" t="s">
        <v>67</v>
      </c>
      <c r="B197" s="61"/>
      <c r="C197" s="61"/>
      <c r="D197" s="61"/>
      <c r="E197" s="61"/>
      <c r="F197" s="61"/>
      <c r="G197" s="61"/>
      <c r="H197" s="62" t="str">
        <f>IF(B197="","",((E197*B197+F197*C197)/SUM(B197:C197)))</f>
        <v/>
      </c>
      <c r="I197" s="4"/>
      <c r="J197" s="60" t="s">
        <v>67</v>
      </c>
      <c r="K197" s="61"/>
      <c r="L197" s="61"/>
      <c r="M197" s="61"/>
      <c r="N197" s="61"/>
      <c r="O197" s="61"/>
      <c r="P197" s="61"/>
      <c r="R197" s="22" t="str">
        <f t="shared" si="11"/>
        <v>20/21</v>
      </c>
      <c r="S197" s="4" t="str">
        <f t="shared" si="15"/>
        <v>'2265</v>
      </c>
      <c r="T197" s="49">
        <v>7006</v>
      </c>
      <c r="U197" s="49"/>
      <c r="V197" s="24"/>
      <c r="W197" s="24"/>
      <c r="X197" s="23">
        <f>N197</f>
        <v>0</v>
      </c>
      <c r="Y197" s="51" t="s">
        <v>68</v>
      </c>
    </row>
    <row r="198" spans="1:25" ht="16.5" customHeight="1">
      <c r="A198" s="60" t="s">
        <v>69</v>
      </c>
      <c r="B198" s="61"/>
      <c r="C198" s="61"/>
      <c r="D198" s="36"/>
      <c r="E198" s="61"/>
      <c r="F198" s="61"/>
      <c r="G198" s="64"/>
      <c r="H198" s="62" t="str">
        <f>IF(B198="","",((E198*B198+F198*C198)/SUM(B198:C198)))</f>
        <v/>
      </c>
      <c r="I198" s="4"/>
      <c r="J198" s="60" t="s">
        <v>69</v>
      </c>
      <c r="K198" s="61"/>
      <c r="L198" s="61"/>
      <c r="M198" s="65"/>
      <c r="N198" s="66"/>
      <c r="O198" s="66"/>
      <c r="P198" s="66"/>
      <c r="R198" s="22" t="str">
        <f t="shared" si="11"/>
        <v>20/21</v>
      </c>
      <c r="S198" s="4" t="str">
        <f t="shared" si="15"/>
        <v>'2265</v>
      </c>
      <c r="T198" s="49">
        <v>7007</v>
      </c>
      <c r="U198" s="49"/>
      <c r="V198" s="24"/>
      <c r="W198" s="24"/>
      <c r="X198" s="23">
        <f>O197</f>
        <v>0</v>
      </c>
      <c r="Y198" s="51" t="s">
        <v>70</v>
      </c>
    </row>
    <row r="199" spans="1:25" ht="18" customHeight="1">
      <c r="A199" s="37" t="s">
        <v>71</v>
      </c>
      <c r="B199" s="79">
        <f>IF(B191="","",(B198+B197)/B191)</f>
        <v>0</v>
      </c>
      <c r="C199" s="79">
        <f>IF(B191="","",(C198+C197)/B191)</f>
        <v>0</v>
      </c>
      <c r="D199" s="79">
        <f>IF(B191="","",(D198+D197)/B191)</f>
        <v>0</v>
      </c>
      <c r="E199" s="195" t="str">
        <f>IF(B191="","",IF(B199+C199+D199&gt;[1]Bovinos!$AD$5," -&gt; índices (somados) acima da média",IF(B199+C199+D199&lt;[1]Bovinos!$AD$4," -&gt; índices (somados) abaixo da média","")))</f>
        <v xml:space="preserve"> -&gt; índices (somados) abaixo da média</v>
      </c>
      <c r="F199" s="195"/>
      <c r="G199" s="195"/>
      <c r="H199" s="195"/>
      <c r="I199" s="4"/>
      <c r="J199" s="37" t="s">
        <v>71</v>
      </c>
      <c r="K199" s="80">
        <f>IF(B191="","-",(K198+K197)/B191)</f>
        <v>0</v>
      </c>
      <c r="L199" s="80">
        <f>IF(B191="","-",(L198+L197)/B191)</f>
        <v>0</v>
      </c>
      <c r="M199" s="80">
        <f>IF(B191="","-",(M198+M197+O197+N197+P197)/B191)</f>
        <v>0</v>
      </c>
      <c r="N199" s="195" t="str">
        <f>IF(AND(K199="-",L199="-",M199="-"),"",IF(K199&gt;Bovinos!$AA$5," -&gt; índice(s) fora da faixa média",IF(K199&lt;Bovinos!$AA$4," -&gt; índice(s) fora da faixa média",IF(L199&gt;Bovinos!$AB$5," -&gt; índice(s) fora da faixa média",IF(L199&lt;Bovinos!$AB$4," -&gt; índice(s) fora da faixa média",IF(M199&gt;Bovinos!$AC$5," -&gt; índice(s) fora da faixa média",IF(M199&lt;Bovinos!$AC$4," -&gt; índice(s) fora da faixa média","")))))))</f>
        <v xml:space="preserve"> -&gt; índice(s) fora da faixa média</v>
      </c>
      <c r="O199" s="195"/>
      <c r="P199" s="195"/>
      <c r="R199" s="22" t="str">
        <f t="shared" ref="R199:R231" si="16">+$S$5</f>
        <v>20/21</v>
      </c>
      <c r="S199" s="4" t="str">
        <f t="shared" si="15"/>
        <v>'2265</v>
      </c>
      <c r="T199" s="49">
        <v>7008</v>
      </c>
      <c r="U199" s="49"/>
      <c r="V199" s="24"/>
      <c r="W199" s="24"/>
      <c r="X199" s="23">
        <f>P197</f>
        <v>0</v>
      </c>
      <c r="Y199" s="51" t="s">
        <v>72</v>
      </c>
    </row>
    <row r="200" spans="1:25" ht="7.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R200" s="22" t="str">
        <f t="shared" si="16"/>
        <v>20/21</v>
      </c>
      <c r="S200" s="4" t="str">
        <f t="shared" si="15"/>
        <v>'2265</v>
      </c>
      <c r="T200" s="23" t="s">
        <v>73</v>
      </c>
      <c r="U200" s="23"/>
      <c r="V200" s="24"/>
      <c r="W200" s="24"/>
      <c r="X200" s="23">
        <f>+M197</f>
        <v>0</v>
      </c>
      <c r="Y200" s="25" t="s">
        <v>74</v>
      </c>
    </row>
    <row r="201" spans="1:25" ht="7.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R201" s="22" t="str">
        <f t="shared" si="16"/>
        <v>20/21</v>
      </c>
      <c r="S201" s="4" t="str">
        <f t="shared" si="15"/>
        <v>'2265</v>
      </c>
      <c r="T201" s="23" t="s">
        <v>75</v>
      </c>
      <c r="U201" s="23">
        <f>+H191</f>
        <v>0</v>
      </c>
      <c r="V201" s="24"/>
      <c r="W201" s="24"/>
      <c r="X201" s="23"/>
      <c r="Y201" s="25" t="s">
        <v>76</v>
      </c>
    </row>
    <row r="202" spans="1:25" ht="16.5" customHeight="1">
      <c r="A202" s="20" t="s">
        <v>19</v>
      </c>
      <c r="B202" s="20" t="s">
        <v>102</v>
      </c>
      <c r="C202" s="20" t="s">
        <v>103</v>
      </c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R202" s="22" t="str">
        <f t="shared" si="16"/>
        <v>20/21</v>
      </c>
      <c r="S202" s="4" t="str">
        <f>+B202</f>
        <v>'2500</v>
      </c>
      <c r="T202" s="23">
        <v>7014</v>
      </c>
      <c r="U202" s="23"/>
      <c r="V202" s="24">
        <f>J206</f>
        <v>0</v>
      </c>
      <c r="W202" s="24"/>
      <c r="X202" s="24"/>
      <c r="Y202" s="25" t="s">
        <v>22</v>
      </c>
    </row>
    <row r="203" spans="1:25" ht="6" customHeight="1">
      <c r="A203" s="26"/>
      <c r="B203" s="27"/>
      <c r="C203" s="28"/>
      <c r="D203" s="28"/>
      <c r="E203" s="28"/>
      <c r="F203" s="28"/>
      <c r="G203" s="4"/>
      <c r="H203" s="4"/>
      <c r="I203" s="29"/>
      <c r="J203" s="4"/>
      <c r="K203" s="4"/>
      <c r="L203" s="71"/>
      <c r="M203" s="4"/>
      <c r="N203" s="4"/>
      <c r="O203" s="4"/>
      <c r="P203" s="4"/>
      <c r="R203" s="22" t="str">
        <f t="shared" si="16"/>
        <v>20/21</v>
      </c>
      <c r="S203" s="4" t="str">
        <f t="shared" ref="S203:S216" si="17">+S202</f>
        <v>'2500</v>
      </c>
      <c r="T203" s="24"/>
      <c r="U203" s="24"/>
      <c r="V203" s="32">
        <f>M206</f>
        <v>0</v>
      </c>
      <c r="W203" s="24"/>
      <c r="X203" s="24"/>
      <c r="Y203" s="24" t="s">
        <v>23</v>
      </c>
    </row>
    <row r="204" spans="1:25" ht="11.25" customHeight="1">
      <c r="A204" s="36"/>
      <c r="B204" s="200" t="s">
        <v>27</v>
      </c>
      <c r="C204" s="205" t="s">
        <v>28</v>
      </c>
      <c r="D204" s="205"/>
      <c r="E204" s="205" t="s">
        <v>29</v>
      </c>
      <c r="F204" s="205"/>
      <c r="G204" s="36"/>
      <c r="H204" s="205" t="s">
        <v>30</v>
      </c>
      <c r="I204" s="4"/>
      <c r="J204" s="206" t="s">
        <v>31</v>
      </c>
      <c r="K204" s="207"/>
      <c r="L204" s="202"/>
      <c r="M204" s="208"/>
      <c r="N204" s="38"/>
      <c r="O204" s="4"/>
      <c r="P204" s="206" t="s">
        <v>32</v>
      </c>
      <c r="R204" s="22" t="str">
        <f t="shared" si="16"/>
        <v>20/21</v>
      </c>
      <c r="S204" s="4" t="str">
        <f t="shared" si="17"/>
        <v>'2500</v>
      </c>
      <c r="T204" s="23" t="s">
        <v>33</v>
      </c>
      <c r="U204" s="23"/>
      <c r="V204" s="23">
        <f>+B206</f>
        <v>11437</v>
      </c>
      <c r="W204" s="39" t="str">
        <f>+H212</f>
        <v/>
      </c>
      <c r="X204" s="23">
        <f>B212+C212</f>
        <v>0</v>
      </c>
      <c r="Y204" s="25" t="s">
        <v>34</v>
      </c>
    </row>
    <row r="205" spans="1:25" ht="12" customHeight="1">
      <c r="A205" s="36"/>
      <c r="B205" s="200"/>
      <c r="C205" s="40" t="s">
        <v>36</v>
      </c>
      <c r="D205" s="40" t="s">
        <v>37</v>
      </c>
      <c r="E205" s="40" t="s">
        <v>36</v>
      </c>
      <c r="F205" s="40" t="s">
        <v>37</v>
      </c>
      <c r="G205" s="36"/>
      <c r="H205" s="205"/>
      <c r="I205" s="4"/>
      <c r="J205" s="206"/>
      <c r="K205" s="207"/>
      <c r="L205" s="202"/>
      <c r="M205" s="208"/>
      <c r="N205" s="38"/>
      <c r="O205" s="4"/>
      <c r="P205" s="206"/>
      <c r="R205" s="22" t="str">
        <f t="shared" si="16"/>
        <v>20/21</v>
      </c>
      <c r="S205" s="4" t="str">
        <f t="shared" si="17"/>
        <v>'2500</v>
      </c>
      <c r="T205" s="23" t="s">
        <v>38</v>
      </c>
      <c r="U205" s="23"/>
      <c r="V205" s="41"/>
      <c r="W205" s="39" t="str">
        <f>H213</f>
        <v/>
      </c>
      <c r="X205" s="23">
        <f>B213+C213</f>
        <v>0</v>
      </c>
      <c r="Y205" s="25" t="s">
        <v>39</v>
      </c>
    </row>
    <row r="206" spans="1:25" ht="16.5" customHeight="1">
      <c r="A206" s="200" t="s">
        <v>40</v>
      </c>
      <c r="B206" s="201">
        <v>11437</v>
      </c>
      <c r="C206" s="42"/>
      <c r="D206" s="42"/>
      <c r="E206" s="42"/>
      <c r="F206" s="42"/>
      <c r="G206" s="43" t="str">
        <f>IF(SUM(C207:F207)=0,"",IF(SUM(C206:F206)&lt;1,"&lt;100%",IF(SUM(C206:F206)&gt;1,"&gt;100%","OK")))</f>
        <v/>
      </c>
      <c r="H206" s="44"/>
      <c r="I206" s="4"/>
      <c r="J206" s="76">
        <f>'Leite - Produção'!S23</f>
        <v>0</v>
      </c>
      <c r="K206" s="46"/>
      <c r="L206" s="202"/>
      <c r="M206" s="47"/>
      <c r="N206" s="31"/>
      <c r="O206" s="4"/>
      <c r="P206" s="48" t="e">
        <f>SUM(F207+D207)/H206</f>
        <v>#DIV/0!</v>
      </c>
      <c r="R206" s="22" t="str">
        <f t="shared" si="16"/>
        <v>20/21</v>
      </c>
      <c r="S206" s="4" t="str">
        <f t="shared" si="17"/>
        <v>'2500</v>
      </c>
      <c r="T206" s="49">
        <v>7590</v>
      </c>
      <c r="U206" s="49"/>
      <c r="V206" s="41"/>
      <c r="W206" s="50">
        <f>+G212</f>
        <v>0</v>
      </c>
      <c r="X206" s="23">
        <f>D212</f>
        <v>0</v>
      </c>
      <c r="Y206" s="51" t="s">
        <v>41</v>
      </c>
    </row>
    <row r="207" spans="1:25" ht="16.5" customHeight="1">
      <c r="A207" s="200"/>
      <c r="B207" s="201"/>
      <c r="C207" s="77">
        <f>+C206*B206</f>
        <v>0</v>
      </c>
      <c r="D207" s="77">
        <f>+D206*B206</f>
        <v>0</v>
      </c>
      <c r="E207" s="77">
        <f>+E206*B206</f>
        <v>0</v>
      </c>
      <c r="F207" s="77">
        <f>+F206*B206</f>
        <v>0</v>
      </c>
      <c r="G207" s="36"/>
      <c r="H207" s="36"/>
      <c r="I207" s="4"/>
      <c r="J207" s="36"/>
      <c r="K207" s="53"/>
      <c r="L207" s="202"/>
      <c r="M207" s="31"/>
      <c r="N207" s="31"/>
      <c r="O207" s="36"/>
      <c r="P207" s="36"/>
      <c r="R207" s="22" t="str">
        <f t="shared" si="16"/>
        <v>20/21</v>
      </c>
      <c r="S207" s="4" t="str">
        <f t="shared" si="17"/>
        <v>'2500</v>
      </c>
      <c r="T207" s="23" t="s">
        <v>42</v>
      </c>
      <c r="U207" s="23"/>
      <c r="V207" s="41"/>
      <c r="W207" s="41"/>
      <c r="X207" s="23">
        <f>K212</f>
        <v>0</v>
      </c>
      <c r="Y207" s="25" t="s">
        <v>43</v>
      </c>
    </row>
    <row r="208" spans="1:25" ht="4.5" customHeight="1">
      <c r="A208" s="55"/>
      <c r="B208" s="56"/>
      <c r="C208" s="78"/>
      <c r="D208" s="78"/>
      <c r="E208" s="78"/>
      <c r="F208" s="78"/>
      <c r="G208" s="78"/>
      <c r="H208" s="36"/>
      <c r="I208" s="29"/>
      <c r="J208" s="36"/>
      <c r="K208" s="36"/>
      <c r="L208" s="75"/>
      <c r="M208" s="36"/>
      <c r="N208" s="36"/>
      <c r="O208" s="36"/>
      <c r="P208" s="36"/>
      <c r="R208" s="22" t="str">
        <f t="shared" si="16"/>
        <v>20/21</v>
      </c>
      <c r="S208" s="4" t="str">
        <f t="shared" si="17"/>
        <v>'2500</v>
      </c>
      <c r="T208" s="23" t="s">
        <v>44</v>
      </c>
      <c r="U208" s="23"/>
      <c r="V208" s="41"/>
      <c r="W208" s="41"/>
      <c r="X208" s="23">
        <f>K213</f>
        <v>0</v>
      </c>
      <c r="Y208" s="25" t="s">
        <v>45</v>
      </c>
    </row>
    <row r="209" spans="1:25" ht="16.5" customHeight="1">
      <c r="A209" s="203" t="s">
        <v>46</v>
      </c>
      <c r="B209" s="204" t="s">
        <v>47</v>
      </c>
      <c r="C209" s="204"/>
      <c r="D209" s="204"/>
      <c r="E209" s="204" t="s">
        <v>48</v>
      </c>
      <c r="F209" s="204"/>
      <c r="G209" s="204"/>
      <c r="H209" s="205" t="s">
        <v>49</v>
      </c>
      <c r="I209" s="4"/>
      <c r="J209" s="203" t="s">
        <v>46</v>
      </c>
      <c r="K209" s="204" t="s">
        <v>50</v>
      </c>
      <c r="L209" s="204"/>
      <c r="M209" s="204"/>
      <c r="N209" s="197"/>
      <c r="O209" s="197"/>
      <c r="P209" s="197"/>
      <c r="R209" s="22" t="str">
        <f t="shared" si="16"/>
        <v>20/21</v>
      </c>
      <c r="S209" s="4" t="str">
        <f t="shared" si="17"/>
        <v>'2500</v>
      </c>
      <c r="T209" s="23" t="s">
        <v>52</v>
      </c>
      <c r="U209" s="23"/>
      <c r="V209" s="41"/>
      <c r="W209" s="41"/>
      <c r="X209" s="23">
        <f>L212</f>
        <v>0</v>
      </c>
      <c r="Y209" s="25" t="s">
        <v>53</v>
      </c>
    </row>
    <row r="210" spans="1:25" ht="16.5" customHeight="1">
      <c r="A210" s="203"/>
      <c r="B210" s="198" t="s">
        <v>54</v>
      </c>
      <c r="C210" s="198" t="s">
        <v>55</v>
      </c>
      <c r="D210" s="198" t="s">
        <v>56</v>
      </c>
      <c r="E210" s="198" t="s">
        <v>54</v>
      </c>
      <c r="F210" s="198" t="s">
        <v>55</v>
      </c>
      <c r="G210" s="198" t="s">
        <v>56</v>
      </c>
      <c r="H210" s="205"/>
      <c r="I210" s="4"/>
      <c r="J210" s="203"/>
      <c r="K210" s="199" t="s">
        <v>57</v>
      </c>
      <c r="L210" s="199" t="s">
        <v>58</v>
      </c>
      <c r="M210" s="199" t="s">
        <v>59</v>
      </c>
      <c r="N210" s="197"/>
      <c r="O210" s="197"/>
      <c r="P210" s="197"/>
      <c r="R210" s="22" t="str">
        <f t="shared" si="16"/>
        <v>20/21</v>
      </c>
      <c r="S210" s="4" t="str">
        <f t="shared" si="17"/>
        <v>'2500</v>
      </c>
      <c r="T210" s="23" t="s">
        <v>60</v>
      </c>
      <c r="U210" s="23"/>
      <c r="V210" s="24"/>
      <c r="W210" s="24"/>
      <c r="X210" s="23">
        <f>+L213</f>
        <v>0</v>
      </c>
      <c r="Y210" s="25" t="s">
        <v>61</v>
      </c>
    </row>
    <row r="211" spans="1:25" ht="18" customHeight="1">
      <c r="A211" s="203"/>
      <c r="B211" s="198"/>
      <c r="C211" s="198"/>
      <c r="D211" s="198"/>
      <c r="E211" s="198"/>
      <c r="F211" s="198"/>
      <c r="G211" s="198"/>
      <c r="H211" s="205"/>
      <c r="I211" s="4"/>
      <c r="J211" s="203"/>
      <c r="K211" s="199"/>
      <c r="L211" s="199"/>
      <c r="M211" s="199"/>
      <c r="N211" s="60"/>
      <c r="O211" s="60"/>
      <c r="P211" s="60"/>
      <c r="R211" s="22" t="str">
        <f t="shared" si="16"/>
        <v>20/21</v>
      </c>
      <c r="S211" s="4" t="str">
        <f t="shared" si="17"/>
        <v>'2500</v>
      </c>
      <c r="T211" s="23" t="s">
        <v>65</v>
      </c>
      <c r="U211" s="23"/>
      <c r="V211" s="24"/>
      <c r="W211" s="24"/>
      <c r="X211" s="23">
        <f>+M213</f>
        <v>0</v>
      </c>
      <c r="Y211" s="25" t="s">
        <v>66</v>
      </c>
    </row>
    <row r="212" spans="1:25" ht="16.5" customHeight="1">
      <c r="A212" s="60" t="s">
        <v>67</v>
      </c>
      <c r="B212" s="61"/>
      <c r="C212" s="61"/>
      <c r="D212" s="61"/>
      <c r="E212" s="61"/>
      <c r="F212" s="61"/>
      <c r="G212" s="61"/>
      <c r="H212" s="62" t="str">
        <f>IF(B212="","",((E212*B212+F212*C212)/SUM(B212:C212)))</f>
        <v/>
      </c>
      <c r="I212" s="4"/>
      <c r="J212" s="60" t="s">
        <v>67</v>
      </c>
      <c r="K212" s="61"/>
      <c r="L212" s="61"/>
      <c r="M212" s="61"/>
      <c r="N212" s="61"/>
      <c r="O212" s="61"/>
      <c r="P212" s="61"/>
      <c r="R212" s="22" t="str">
        <f t="shared" si="16"/>
        <v>20/21</v>
      </c>
      <c r="S212" s="4" t="str">
        <f t="shared" si="17"/>
        <v>'2500</v>
      </c>
      <c r="T212" s="49">
        <v>7006</v>
      </c>
      <c r="U212" s="49"/>
      <c r="V212" s="24"/>
      <c r="W212" s="24"/>
      <c r="X212" s="23">
        <f>N212</f>
        <v>0</v>
      </c>
      <c r="Y212" s="51" t="s">
        <v>68</v>
      </c>
    </row>
    <row r="213" spans="1:25" ht="16.5" customHeight="1">
      <c r="A213" s="60" t="s">
        <v>69</v>
      </c>
      <c r="B213" s="61"/>
      <c r="C213" s="61"/>
      <c r="D213" s="36"/>
      <c r="E213" s="61"/>
      <c r="F213" s="61"/>
      <c r="G213" s="64"/>
      <c r="H213" s="62" t="str">
        <f>IF(B213="","",((E213*B213+F213*C213)/SUM(B213:C213)))</f>
        <v/>
      </c>
      <c r="I213" s="4"/>
      <c r="J213" s="60" t="s">
        <v>69</v>
      </c>
      <c r="K213" s="61"/>
      <c r="L213" s="61"/>
      <c r="M213" s="65"/>
      <c r="N213" s="66"/>
      <c r="O213" s="66"/>
      <c r="P213" s="66"/>
      <c r="R213" s="22" t="str">
        <f t="shared" si="16"/>
        <v>20/21</v>
      </c>
      <c r="S213" s="4" t="str">
        <f t="shared" si="17"/>
        <v>'2500</v>
      </c>
      <c r="T213" s="49">
        <v>7007</v>
      </c>
      <c r="U213" s="49"/>
      <c r="V213" s="24"/>
      <c r="W213" s="24"/>
      <c r="X213" s="23">
        <f>O212</f>
        <v>0</v>
      </c>
      <c r="Y213" s="51" t="s">
        <v>70</v>
      </c>
    </row>
    <row r="214" spans="1:25" ht="18" customHeight="1">
      <c r="A214" s="37" t="s">
        <v>71</v>
      </c>
      <c r="B214" s="79">
        <f>IF(B206="","",(B213+B212)/B206)</f>
        <v>0</v>
      </c>
      <c r="C214" s="79">
        <f>IF(B206="","",(C213+C212)/B206)</f>
        <v>0</v>
      </c>
      <c r="D214" s="79">
        <f>IF(B206="","",(D213+D212)/B206)</f>
        <v>0</v>
      </c>
      <c r="E214" s="195" t="str">
        <f>IF(B206="","",IF(B214+C214+D214&gt;[1]Bovinos!$AD$5," -&gt; índices (somados) acima da média",IF(B214+C214+D214&lt;[1]Bovinos!$AD$4," -&gt; índices (somados) abaixo da média","")))</f>
        <v xml:space="preserve"> -&gt; índices (somados) abaixo da média</v>
      </c>
      <c r="F214" s="195"/>
      <c r="G214" s="195"/>
      <c r="H214" s="195"/>
      <c r="I214" s="4"/>
      <c r="J214" s="37" t="s">
        <v>71</v>
      </c>
      <c r="K214" s="80">
        <f>IF(B206="","-",(K213+K212)/B206)</f>
        <v>0</v>
      </c>
      <c r="L214" s="80">
        <f>IF(B206="","-",(L213+L212)/B206)</f>
        <v>0</v>
      </c>
      <c r="M214" s="80">
        <f>IF(B206="","-",(M213+M212+O212+N212+P212)/B206)</f>
        <v>0</v>
      </c>
      <c r="N214" s="196"/>
      <c r="O214" s="196"/>
      <c r="P214" s="196"/>
      <c r="R214" s="22" t="str">
        <f t="shared" si="16"/>
        <v>20/21</v>
      </c>
      <c r="S214" s="4" t="str">
        <f t="shared" si="17"/>
        <v>'2500</v>
      </c>
      <c r="T214" s="49">
        <v>7008</v>
      </c>
      <c r="U214" s="49"/>
      <c r="V214" s="24"/>
      <c r="W214" s="24"/>
      <c r="X214" s="23">
        <f>P212</f>
        <v>0</v>
      </c>
      <c r="Y214" s="51" t="s">
        <v>72</v>
      </c>
    </row>
    <row r="215" spans="1:25" ht="7.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R215" s="22" t="str">
        <f t="shared" si="16"/>
        <v>20/21</v>
      </c>
      <c r="S215" s="4" t="str">
        <f t="shared" si="17"/>
        <v>'2500</v>
      </c>
      <c r="T215" s="23" t="s">
        <v>73</v>
      </c>
      <c r="U215" s="23"/>
      <c r="V215" s="24"/>
      <c r="W215" s="24"/>
      <c r="X215" s="23">
        <f>+M212</f>
        <v>0</v>
      </c>
      <c r="Y215" s="25" t="s">
        <v>74</v>
      </c>
    </row>
    <row r="216" spans="1:25" ht="7.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R216" s="22" t="str">
        <f t="shared" si="16"/>
        <v>20/21</v>
      </c>
      <c r="S216" s="4" t="str">
        <f t="shared" si="17"/>
        <v>'2500</v>
      </c>
      <c r="T216" s="23" t="s">
        <v>75</v>
      </c>
      <c r="U216" s="23">
        <f>+H206</f>
        <v>0</v>
      </c>
      <c r="V216" s="24"/>
      <c r="W216" s="24"/>
      <c r="X216" s="23"/>
      <c r="Y216" s="25" t="s">
        <v>76</v>
      </c>
    </row>
    <row r="217" spans="1:25" ht="16.5" customHeight="1">
      <c r="A217" s="20" t="s">
        <v>19</v>
      </c>
      <c r="B217" s="20" t="s">
        <v>104</v>
      </c>
      <c r="C217" s="20" t="s">
        <v>105</v>
      </c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R217" s="22" t="str">
        <f t="shared" si="16"/>
        <v>20/21</v>
      </c>
      <c r="S217" s="69" t="str">
        <f>+B217</f>
        <v>'2580</v>
      </c>
      <c r="T217" s="23">
        <v>7014</v>
      </c>
      <c r="U217" s="23"/>
      <c r="V217" s="24">
        <f>J221</f>
        <v>0</v>
      </c>
      <c r="W217" s="24"/>
      <c r="X217" s="24"/>
      <c r="Y217" s="70" t="s">
        <v>22</v>
      </c>
    </row>
    <row r="218" spans="1:25" ht="6" customHeight="1">
      <c r="A218" s="26"/>
      <c r="B218" s="27"/>
      <c r="C218" s="28"/>
      <c r="D218" s="28"/>
      <c r="E218" s="28"/>
      <c r="F218" s="28"/>
      <c r="G218" s="4"/>
      <c r="H218" s="4"/>
      <c r="I218" s="29"/>
      <c r="J218" s="4"/>
      <c r="K218" s="4"/>
      <c r="L218" s="71"/>
      <c r="M218" s="4"/>
      <c r="N218" s="4"/>
      <c r="O218" s="4"/>
      <c r="P218" s="4"/>
      <c r="R218" s="22" t="str">
        <f t="shared" si="16"/>
        <v>20/21</v>
      </c>
      <c r="S218" s="69" t="str">
        <f t="shared" ref="S218:S231" si="18">+S217</f>
        <v>'2580</v>
      </c>
      <c r="T218" s="24"/>
      <c r="U218" s="24"/>
      <c r="V218" s="32">
        <f>M221</f>
        <v>0</v>
      </c>
      <c r="W218" s="24"/>
      <c r="X218" s="24"/>
      <c r="Y218" s="72" t="s">
        <v>23</v>
      </c>
    </row>
    <row r="219" spans="1:25" ht="11.25" customHeight="1">
      <c r="A219" s="36"/>
      <c r="B219" s="200" t="s">
        <v>27</v>
      </c>
      <c r="C219" s="205" t="s">
        <v>28</v>
      </c>
      <c r="D219" s="205"/>
      <c r="E219" s="205" t="s">
        <v>29</v>
      </c>
      <c r="F219" s="205"/>
      <c r="G219" s="36"/>
      <c r="H219" s="205" t="s">
        <v>30</v>
      </c>
      <c r="I219" s="4"/>
      <c r="J219" s="206" t="s">
        <v>31</v>
      </c>
      <c r="K219" s="207"/>
      <c r="L219" s="202"/>
      <c r="M219" s="208"/>
      <c r="N219" s="38"/>
      <c r="O219" s="4"/>
      <c r="P219" s="206" t="s">
        <v>32</v>
      </c>
      <c r="R219" s="22" t="str">
        <f t="shared" si="16"/>
        <v>20/21</v>
      </c>
      <c r="S219" s="69" t="str">
        <f t="shared" si="18"/>
        <v>'2580</v>
      </c>
      <c r="T219" s="23" t="s">
        <v>33</v>
      </c>
      <c r="U219" s="23"/>
      <c r="V219" s="23">
        <f>+B221</f>
        <v>8000</v>
      </c>
      <c r="W219" s="39" t="str">
        <f>+H227</f>
        <v/>
      </c>
      <c r="X219" s="23">
        <f>B227+C227</f>
        <v>0</v>
      </c>
      <c r="Y219" s="70" t="s">
        <v>34</v>
      </c>
    </row>
    <row r="220" spans="1:25" ht="12" customHeight="1">
      <c r="A220" s="36"/>
      <c r="B220" s="200"/>
      <c r="C220" s="40" t="s">
        <v>36</v>
      </c>
      <c r="D220" s="40" t="s">
        <v>37</v>
      </c>
      <c r="E220" s="40" t="s">
        <v>36</v>
      </c>
      <c r="F220" s="40" t="s">
        <v>37</v>
      </c>
      <c r="G220" s="36"/>
      <c r="H220" s="205"/>
      <c r="I220" s="4"/>
      <c r="J220" s="206"/>
      <c r="K220" s="207"/>
      <c r="L220" s="202"/>
      <c r="M220" s="208"/>
      <c r="N220" s="38"/>
      <c r="O220" s="4"/>
      <c r="P220" s="206"/>
      <c r="R220" s="22" t="str">
        <f t="shared" si="16"/>
        <v>20/21</v>
      </c>
      <c r="S220" s="69" t="str">
        <f t="shared" si="18"/>
        <v>'2580</v>
      </c>
      <c r="T220" s="23" t="s">
        <v>38</v>
      </c>
      <c r="U220" s="23"/>
      <c r="V220" s="73"/>
      <c r="W220" s="39" t="str">
        <f>H228</f>
        <v/>
      </c>
      <c r="X220" s="23">
        <f>B228+C228</f>
        <v>0</v>
      </c>
      <c r="Y220" s="70" t="s">
        <v>39</v>
      </c>
    </row>
    <row r="221" spans="1:25" ht="16.5" customHeight="1">
      <c r="A221" s="200" t="s">
        <v>40</v>
      </c>
      <c r="B221" s="201">
        <v>8000</v>
      </c>
      <c r="C221" s="42"/>
      <c r="D221" s="42"/>
      <c r="E221" s="42"/>
      <c r="F221" s="42"/>
      <c r="G221" s="43" t="str">
        <f>IF(SUM(C222:F222)=0,"",IF(SUM(C221:F221)&lt;1,"&lt;100%",IF(SUM(C221:F221)&gt;1,"&gt;100%","OK")))</f>
        <v/>
      </c>
      <c r="H221" s="44"/>
      <c r="I221" s="4"/>
      <c r="J221" s="76">
        <f>'Leite - Produção'!S24</f>
        <v>0</v>
      </c>
      <c r="K221" s="46"/>
      <c r="L221" s="202"/>
      <c r="M221" s="47"/>
      <c r="N221" s="31"/>
      <c r="O221" s="4"/>
      <c r="P221" s="48" t="e">
        <f>SUM(F222+D222)/H221</f>
        <v>#DIV/0!</v>
      </c>
      <c r="R221" s="22" t="str">
        <f t="shared" si="16"/>
        <v>20/21</v>
      </c>
      <c r="S221" s="69" t="str">
        <f t="shared" si="18"/>
        <v>'2580</v>
      </c>
      <c r="T221" s="49">
        <v>7590</v>
      </c>
      <c r="U221" s="49"/>
      <c r="V221" s="73"/>
      <c r="W221" s="50">
        <f>+G227</f>
        <v>0</v>
      </c>
      <c r="X221" s="23">
        <f>D227</f>
        <v>0</v>
      </c>
      <c r="Y221" s="74" t="s">
        <v>41</v>
      </c>
    </row>
    <row r="222" spans="1:25" ht="16.5" customHeight="1">
      <c r="A222" s="200"/>
      <c r="B222" s="201"/>
      <c r="C222" s="77">
        <f>+C221*B221</f>
        <v>0</v>
      </c>
      <c r="D222" s="77">
        <f>+D221*B221</f>
        <v>0</v>
      </c>
      <c r="E222" s="77">
        <f>+E221*B221</f>
        <v>0</v>
      </c>
      <c r="F222" s="77">
        <f>+F221*B221</f>
        <v>0</v>
      </c>
      <c r="G222" s="36"/>
      <c r="H222" s="36"/>
      <c r="I222" s="4"/>
      <c r="J222" s="36"/>
      <c r="K222" s="53"/>
      <c r="L222" s="202"/>
      <c r="M222" s="31"/>
      <c r="N222" s="31"/>
      <c r="O222" s="36"/>
      <c r="P222" s="36"/>
      <c r="R222" s="22" t="str">
        <f t="shared" si="16"/>
        <v>20/21</v>
      </c>
      <c r="S222" s="69" t="str">
        <f t="shared" si="18"/>
        <v>'2580</v>
      </c>
      <c r="T222" s="23" t="s">
        <v>42</v>
      </c>
      <c r="U222" s="23"/>
      <c r="V222" s="73"/>
      <c r="W222" s="73"/>
      <c r="X222" s="23">
        <f>K227</f>
        <v>0</v>
      </c>
      <c r="Y222" s="70" t="s">
        <v>43</v>
      </c>
    </row>
    <row r="223" spans="1:25" ht="4.5" customHeight="1">
      <c r="A223" s="55"/>
      <c r="B223" s="56"/>
      <c r="C223" s="78"/>
      <c r="D223" s="78"/>
      <c r="E223" s="78"/>
      <c r="F223" s="78"/>
      <c r="G223" s="78"/>
      <c r="H223" s="36"/>
      <c r="I223" s="29"/>
      <c r="J223" s="36"/>
      <c r="K223" s="36"/>
      <c r="L223" s="75"/>
      <c r="M223" s="36"/>
      <c r="N223" s="36"/>
      <c r="O223" s="36"/>
      <c r="P223" s="36"/>
      <c r="R223" s="22" t="str">
        <f t="shared" si="16"/>
        <v>20/21</v>
      </c>
      <c r="S223" s="69" t="str">
        <f t="shared" si="18"/>
        <v>'2580</v>
      </c>
      <c r="T223" s="23" t="s">
        <v>44</v>
      </c>
      <c r="U223" s="23"/>
      <c r="V223" s="73"/>
      <c r="W223" s="73"/>
      <c r="X223" s="23">
        <f>K228</f>
        <v>0</v>
      </c>
      <c r="Y223" s="70" t="s">
        <v>45</v>
      </c>
    </row>
    <row r="224" spans="1:25" ht="16.5" customHeight="1">
      <c r="A224" s="203" t="s">
        <v>46</v>
      </c>
      <c r="B224" s="204" t="s">
        <v>47</v>
      </c>
      <c r="C224" s="204"/>
      <c r="D224" s="204"/>
      <c r="E224" s="204" t="s">
        <v>48</v>
      </c>
      <c r="F224" s="204"/>
      <c r="G224" s="204"/>
      <c r="H224" s="205" t="s">
        <v>49</v>
      </c>
      <c r="I224" s="4"/>
      <c r="J224" s="203" t="s">
        <v>46</v>
      </c>
      <c r="K224" s="204" t="s">
        <v>50</v>
      </c>
      <c r="L224" s="204"/>
      <c r="M224" s="204"/>
      <c r="N224" s="197"/>
      <c r="O224" s="197"/>
      <c r="P224" s="197"/>
      <c r="R224" s="22" t="str">
        <f t="shared" si="16"/>
        <v>20/21</v>
      </c>
      <c r="S224" s="69" t="str">
        <f t="shared" si="18"/>
        <v>'2580</v>
      </c>
      <c r="T224" s="23" t="s">
        <v>52</v>
      </c>
      <c r="U224" s="23"/>
      <c r="V224" s="73"/>
      <c r="W224" s="73"/>
      <c r="X224" s="23">
        <f>L227</f>
        <v>0</v>
      </c>
      <c r="Y224" s="70" t="s">
        <v>53</v>
      </c>
    </row>
    <row r="225" spans="1:25" ht="16.5" customHeight="1">
      <c r="A225" s="203"/>
      <c r="B225" s="198" t="s">
        <v>54</v>
      </c>
      <c r="C225" s="198" t="s">
        <v>55</v>
      </c>
      <c r="D225" s="198" t="s">
        <v>56</v>
      </c>
      <c r="E225" s="198" t="s">
        <v>54</v>
      </c>
      <c r="F225" s="198" t="s">
        <v>55</v>
      </c>
      <c r="G225" s="198" t="s">
        <v>56</v>
      </c>
      <c r="H225" s="205"/>
      <c r="I225" s="4"/>
      <c r="J225" s="203"/>
      <c r="K225" s="199" t="s">
        <v>57</v>
      </c>
      <c r="L225" s="199" t="s">
        <v>58</v>
      </c>
      <c r="M225" s="199" t="s">
        <v>59</v>
      </c>
      <c r="N225" s="197"/>
      <c r="O225" s="197"/>
      <c r="P225" s="197"/>
      <c r="R225" s="22" t="str">
        <f t="shared" si="16"/>
        <v>20/21</v>
      </c>
      <c r="S225" s="69" t="str">
        <f t="shared" si="18"/>
        <v>'2580</v>
      </c>
      <c r="T225" s="23" t="s">
        <v>60</v>
      </c>
      <c r="U225" s="23"/>
      <c r="V225" s="24"/>
      <c r="W225" s="24"/>
      <c r="X225" s="23">
        <f>+L228</f>
        <v>0</v>
      </c>
      <c r="Y225" s="70" t="s">
        <v>61</v>
      </c>
    </row>
    <row r="226" spans="1:25" ht="18" customHeight="1">
      <c r="A226" s="203"/>
      <c r="B226" s="198"/>
      <c r="C226" s="198"/>
      <c r="D226" s="198"/>
      <c r="E226" s="198"/>
      <c r="F226" s="198"/>
      <c r="G226" s="198"/>
      <c r="H226" s="205"/>
      <c r="I226" s="4"/>
      <c r="J226" s="203"/>
      <c r="K226" s="199"/>
      <c r="L226" s="199"/>
      <c r="M226" s="199"/>
      <c r="N226" s="60"/>
      <c r="O226" s="60"/>
      <c r="P226" s="60"/>
      <c r="R226" s="22" t="str">
        <f t="shared" si="16"/>
        <v>20/21</v>
      </c>
      <c r="S226" s="69" t="str">
        <f t="shared" si="18"/>
        <v>'2580</v>
      </c>
      <c r="T226" s="23" t="s">
        <v>65</v>
      </c>
      <c r="U226" s="23"/>
      <c r="V226" s="24"/>
      <c r="W226" s="24"/>
      <c r="X226" s="23">
        <f>+M228</f>
        <v>0</v>
      </c>
      <c r="Y226" s="70" t="s">
        <v>66</v>
      </c>
    </row>
    <row r="227" spans="1:25" ht="16.5" customHeight="1">
      <c r="A227" s="60" t="s">
        <v>67</v>
      </c>
      <c r="B227" s="61"/>
      <c r="C227" s="61"/>
      <c r="D227" s="61"/>
      <c r="E227" s="61"/>
      <c r="F227" s="61"/>
      <c r="G227" s="61"/>
      <c r="H227" s="62" t="str">
        <f>IF(B227="","",((E227*B227+F227*C227)/SUM(B227:C227)))</f>
        <v/>
      </c>
      <c r="I227" s="4"/>
      <c r="J227" s="60" t="s">
        <v>67</v>
      </c>
      <c r="K227" s="61"/>
      <c r="L227" s="61"/>
      <c r="M227" s="61"/>
      <c r="N227" s="61"/>
      <c r="O227" s="61"/>
      <c r="P227" s="61"/>
      <c r="R227" s="22" t="str">
        <f t="shared" si="16"/>
        <v>20/21</v>
      </c>
      <c r="S227" s="69" t="str">
        <f t="shared" si="18"/>
        <v>'2580</v>
      </c>
      <c r="T227" s="49">
        <v>7006</v>
      </c>
      <c r="U227" s="49"/>
      <c r="V227" s="24"/>
      <c r="W227" s="24"/>
      <c r="X227" s="23">
        <f>N227</f>
        <v>0</v>
      </c>
      <c r="Y227" s="74" t="s">
        <v>68</v>
      </c>
    </row>
    <row r="228" spans="1:25" ht="16.5" customHeight="1">
      <c r="A228" s="60" t="s">
        <v>69</v>
      </c>
      <c r="B228" s="61"/>
      <c r="C228" s="61"/>
      <c r="D228" s="36"/>
      <c r="E228" s="61"/>
      <c r="F228" s="61"/>
      <c r="G228" s="64"/>
      <c r="H228" s="62" t="str">
        <f>IF(B228="","",((E228*B228+F228*C228)/SUM(B228:C228)))</f>
        <v/>
      </c>
      <c r="I228" s="4"/>
      <c r="J228" s="60" t="s">
        <v>69</v>
      </c>
      <c r="K228" s="61"/>
      <c r="L228" s="61"/>
      <c r="M228" s="65"/>
      <c r="N228" s="66"/>
      <c r="O228" s="66"/>
      <c r="P228" s="66"/>
      <c r="R228" s="22" t="str">
        <f t="shared" si="16"/>
        <v>20/21</v>
      </c>
      <c r="S228" s="69" t="str">
        <f t="shared" si="18"/>
        <v>'2580</v>
      </c>
      <c r="T228" s="49">
        <v>7007</v>
      </c>
      <c r="U228" s="49"/>
      <c r="V228" s="24"/>
      <c r="W228" s="24"/>
      <c r="X228" s="23">
        <f>O227</f>
        <v>0</v>
      </c>
      <c r="Y228" s="74" t="s">
        <v>70</v>
      </c>
    </row>
    <row r="229" spans="1:25" ht="18" customHeight="1">
      <c r="A229" s="37" t="s">
        <v>71</v>
      </c>
      <c r="B229" s="79">
        <f>IF(B221="","",(B228+B227)/B221)</f>
        <v>0</v>
      </c>
      <c r="C229" s="79">
        <f>IF(B221="","",(C228+C227)/B221)</f>
        <v>0</v>
      </c>
      <c r="D229" s="79">
        <f>IF(B221="","",(D228+D227)/B221)</f>
        <v>0</v>
      </c>
      <c r="E229" s="195" t="str">
        <f>IF(B221="","",IF(B229+C229+D229&gt;[1]Bovinos!$AD$5," -&gt; índices (somados) acima da média",IF(B229+C229+D229&lt;[1]Bovinos!$AD$4," -&gt; índices (somados) abaixo da média","")))</f>
        <v xml:space="preserve"> -&gt; índices (somados) abaixo da média</v>
      </c>
      <c r="F229" s="195"/>
      <c r="G229" s="195"/>
      <c r="H229" s="195"/>
      <c r="I229" s="4"/>
      <c r="J229" s="37" t="s">
        <v>71</v>
      </c>
      <c r="K229" s="80">
        <f>IF(B221="","-",(K228+K227)/B221)</f>
        <v>0</v>
      </c>
      <c r="L229" s="80">
        <f>IF(B221="","-",(L228+L227)/B221)</f>
        <v>0</v>
      </c>
      <c r="M229" s="80">
        <f>IF(B221="","-",(M228+M227+O227+N227+P227)/B221)</f>
        <v>0</v>
      </c>
      <c r="N229" s="196"/>
      <c r="O229" s="196"/>
      <c r="P229" s="196"/>
      <c r="R229" s="22" t="str">
        <f t="shared" si="16"/>
        <v>20/21</v>
      </c>
      <c r="S229" s="69" t="str">
        <f t="shared" si="18"/>
        <v>'2580</v>
      </c>
      <c r="T229" s="49">
        <v>7008</v>
      </c>
      <c r="U229" s="49"/>
      <c r="V229" s="24"/>
      <c r="W229" s="24"/>
      <c r="X229" s="23">
        <f>P227</f>
        <v>0</v>
      </c>
      <c r="Y229" s="74" t="s">
        <v>72</v>
      </c>
    </row>
    <row r="230" spans="1:25" ht="16.5" customHeight="1">
      <c r="R230" s="22" t="str">
        <f t="shared" si="16"/>
        <v>20/21</v>
      </c>
      <c r="S230" s="4" t="str">
        <f t="shared" si="18"/>
        <v>'2580</v>
      </c>
      <c r="T230" s="23" t="s">
        <v>73</v>
      </c>
      <c r="U230" s="23"/>
      <c r="V230" s="24"/>
      <c r="W230" s="24"/>
      <c r="X230" s="23">
        <f>+M227</f>
        <v>0</v>
      </c>
      <c r="Y230" s="25" t="s">
        <v>74</v>
      </c>
    </row>
    <row r="231" spans="1:25" ht="16.5" customHeight="1">
      <c r="R231" s="22" t="str">
        <f t="shared" si="16"/>
        <v>20/21</v>
      </c>
      <c r="S231" s="4" t="str">
        <f t="shared" si="18"/>
        <v>'2580</v>
      </c>
      <c r="T231" s="23" t="s">
        <v>75</v>
      </c>
      <c r="U231" s="23">
        <f>+H221</f>
        <v>0</v>
      </c>
      <c r="V231" s="24"/>
      <c r="W231" s="24"/>
      <c r="X231" s="23"/>
      <c r="Y231" s="25" t="s">
        <v>76</v>
      </c>
    </row>
  </sheetData>
  <mergeCells count="450">
    <mergeCell ref="B9:B10"/>
    <mergeCell ref="C9:D9"/>
    <mergeCell ref="E9:F9"/>
    <mergeCell ref="H9:H10"/>
    <mergeCell ref="J9:J10"/>
    <mergeCell ref="K9:K10"/>
    <mergeCell ref="L9:L10"/>
    <mergeCell ref="M9:M10"/>
    <mergeCell ref="P9:P10"/>
    <mergeCell ref="A11:A12"/>
    <mergeCell ref="B11:B12"/>
    <mergeCell ref="L11:L12"/>
    <mergeCell ref="A14:A16"/>
    <mergeCell ref="B14:D14"/>
    <mergeCell ref="E14:G14"/>
    <mergeCell ref="H14:H16"/>
    <mergeCell ref="J14:J16"/>
    <mergeCell ref="K14:M14"/>
    <mergeCell ref="N14:P15"/>
    <mergeCell ref="B15:B16"/>
    <mergeCell ref="C15:C16"/>
    <mergeCell ref="D15:D16"/>
    <mergeCell ref="E15:E16"/>
    <mergeCell ref="F15:F16"/>
    <mergeCell ref="G15:G16"/>
    <mergeCell ref="K15:K16"/>
    <mergeCell ref="L15:L16"/>
    <mergeCell ref="M15:M16"/>
    <mergeCell ref="E19:H19"/>
    <mergeCell ref="N19:P19"/>
    <mergeCell ref="B24:B25"/>
    <mergeCell ref="C24:D24"/>
    <mergeCell ref="E24:F24"/>
    <mergeCell ref="H24:H25"/>
    <mergeCell ref="J24:J25"/>
    <mergeCell ref="K24:K25"/>
    <mergeCell ref="L24:L25"/>
    <mergeCell ref="M24:M25"/>
    <mergeCell ref="P24:P25"/>
    <mergeCell ref="A26:A27"/>
    <mergeCell ref="B26:B27"/>
    <mergeCell ref="L26:L27"/>
    <mergeCell ref="A29:A31"/>
    <mergeCell ref="B29:D29"/>
    <mergeCell ref="E29:G29"/>
    <mergeCell ref="H29:H31"/>
    <mergeCell ref="J29:J31"/>
    <mergeCell ref="K29:M29"/>
    <mergeCell ref="N29:P30"/>
    <mergeCell ref="B30:B31"/>
    <mergeCell ref="C30:C31"/>
    <mergeCell ref="D30:D31"/>
    <mergeCell ref="E30:E31"/>
    <mergeCell ref="F30:F31"/>
    <mergeCell ref="G30:G31"/>
    <mergeCell ref="K30:K31"/>
    <mergeCell ref="L30:L31"/>
    <mergeCell ref="M30:M31"/>
    <mergeCell ref="E34:H34"/>
    <mergeCell ref="N34:P34"/>
    <mergeCell ref="B39:B40"/>
    <mergeCell ref="C39:D39"/>
    <mergeCell ref="E39:F39"/>
    <mergeCell ref="H39:H40"/>
    <mergeCell ref="J39:J40"/>
    <mergeCell ref="K39:K40"/>
    <mergeCell ref="L39:L40"/>
    <mergeCell ref="M39:M40"/>
    <mergeCell ref="P39:P40"/>
    <mergeCell ref="A41:A42"/>
    <mergeCell ref="B41:B42"/>
    <mergeCell ref="L41:L42"/>
    <mergeCell ref="A44:A46"/>
    <mergeCell ref="B44:D44"/>
    <mergeCell ref="E44:G44"/>
    <mergeCell ref="H44:H46"/>
    <mergeCell ref="J44:J46"/>
    <mergeCell ref="K44:M44"/>
    <mergeCell ref="N44:P45"/>
    <mergeCell ref="B45:B46"/>
    <mergeCell ref="C45:C46"/>
    <mergeCell ref="D45:D46"/>
    <mergeCell ref="E45:E46"/>
    <mergeCell ref="F45:F46"/>
    <mergeCell ref="G45:G46"/>
    <mergeCell ref="K45:K46"/>
    <mergeCell ref="L45:L46"/>
    <mergeCell ref="M45:M46"/>
    <mergeCell ref="E49:H49"/>
    <mergeCell ref="N49:P49"/>
    <mergeCell ref="B54:B55"/>
    <mergeCell ref="C54:D54"/>
    <mergeCell ref="E54:F54"/>
    <mergeCell ref="H54:H55"/>
    <mergeCell ref="J54:J55"/>
    <mergeCell ref="K54:K55"/>
    <mergeCell ref="L54:L55"/>
    <mergeCell ref="M54:M55"/>
    <mergeCell ref="P54:P55"/>
    <mergeCell ref="A56:A57"/>
    <mergeCell ref="B56:B57"/>
    <mergeCell ref="L56:L57"/>
    <mergeCell ref="A59:A61"/>
    <mergeCell ref="B59:D59"/>
    <mergeCell ref="E59:G59"/>
    <mergeCell ref="H59:H61"/>
    <mergeCell ref="J59:J61"/>
    <mergeCell ref="K59:M59"/>
    <mergeCell ref="N59:P60"/>
    <mergeCell ref="B60:B61"/>
    <mergeCell ref="C60:C61"/>
    <mergeCell ref="D60:D61"/>
    <mergeCell ref="E60:E61"/>
    <mergeCell ref="F60:F61"/>
    <mergeCell ref="G60:G61"/>
    <mergeCell ref="K60:K61"/>
    <mergeCell ref="L60:L61"/>
    <mergeCell ref="M60:M61"/>
    <mergeCell ref="E64:H64"/>
    <mergeCell ref="N64:P64"/>
    <mergeCell ref="B69:B70"/>
    <mergeCell ref="C69:D69"/>
    <mergeCell ref="E69:F69"/>
    <mergeCell ref="H69:H70"/>
    <mergeCell ref="J69:J70"/>
    <mergeCell ref="K69:K70"/>
    <mergeCell ref="L69:L70"/>
    <mergeCell ref="M69:M70"/>
    <mergeCell ref="P69:P70"/>
    <mergeCell ref="A71:A72"/>
    <mergeCell ref="B71:B72"/>
    <mergeCell ref="L71:L72"/>
    <mergeCell ref="A74:A76"/>
    <mergeCell ref="B74:D74"/>
    <mergeCell ref="E74:G74"/>
    <mergeCell ref="H74:H76"/>
    <mergeCell ref="J74:J76"/>
    <mergeCell ref="K74:M74"/>
    <mergeCell ref="N74:P75"/>
    <mergeCell ref="B75:B76"/>
    <mergeCell ref="C75:C76"/>
    <mergeCell ref="D75:D76"/>
    <mergeCell ref="E75:E76"/>
    <mergeCell ref="F75:F76"/>
    <mergeCell ref="G75:G76"/>
    <mergeCell ref="K75:K76"/>
    <mergeCell ref="L75:L76"/>
    <mergeCell ref="M75:M76"/>
    <mergeCell ref="E79:H79"/>
    <mergeCell ref="N79:P79"/>
    <mergeCell ref="B84:B85"/>
    <mergeCell ref="C84:D84"/>
    <mergeCell ref="E84:F84"/>
    <mergeCell ref="H84:H85"/>
    <mergeCell ref="J84:J85"/>
    <mergeCell ref="K84:K85"/>
    <mergeCell ref="L84:L85"/>
    <mergeCell ref="M84:M85"/>
    <mergeCell ref="P84:P85"/>
    <mergeCell ref="A86:A87"/>
    <mergeCell ref="B86:B87"/>
    <mergeCell ref="L86:L87"/>
    <mergeCell ref="A89:A91"/>
    <mergeCell ref="B89:D89"/>
    <mergeCell ref="E89:G89"/>
    <mergeCell ref="H89:H91"/>
    <mergeCell ref="J89:J91"/>
    <mergeCell ref="K89:M89"/>
    <mergeCell ref="N89:P90"/>
    <mergeCell ref="B90:B91"/>
    <mergeCell ref="C90:C91"/>
    <mergeCell ref="D90:D91"/>
    <mergeCell ref="E90:E91"/>
    <mergeCell ref="F90:F91"/>
    <mergeCell ref="G90:G91"/>
    <mergeCell ref="K90:K91"/>
    <mergeCell ref="L90:L91"/>
    <mergeCell ref="M90:M91"/>
    <mergeCell ref="E94:H94"/>
    <mergeCell ref="N94:P94"/>
    <mergeCell ref="B99:B100"/>
    <mergeCell ref="C99:D99"/>
    <mergeCell ref="E99:F99"/>
    <mergeCell ref="H99:H100"/>
    <mergeCell ref="J99:J100"/>
    <mergeCell ref="K99:K100"/>
    <mergeCell ref="L99:L100"/>
    <mergeCell ref="M99:M100"/>
    <mergeCell ref="P99:P100"/>
    <mergeCell ref="A101:A102"/>
    <mergeCell ref="B101:B102"/>
    <mergeCell ref="L101:L102"/>
    <mergeCell ref="A104:A106"/>
    <mergeCell ref="B104:D104"/>
    <mergeCell ref="E104:G104"/>
    <mergeCell ref="H104:H106"/>
    <mergeCell ref="J104:J106"/>
    <mergeCell ref="K104:M104"/>
    <mergeCell ref="N104:P105"/>
    <mergeCell ref="B105:B106"/>
    <mergeCell ref="C105:C106"/>
    <mergeCell ref="D105:D106"/>
    <mergeCell ref="E105:E106"/>
    <mergeCell ref="F105:F106"/>
    <mergeCell ref="G105:G106"/>
    <mergeCell ref="K105:K106"/>
    <mergeCell ref="L105:L106"/>
    <mergeCell ref="M105:M106"/>
    <mergeCell ref="E109:H109"/>
    <mergeCell ref="N109:P109"/>
    <mergeCell ref="B114:B115"/>
    <mergeCell ref="C114:D114"/>
    <mergeCell ref="E114:F114"/>
    <mergeCell ref="H114:H115"/>
    <mergeCell ref="J114:J115"/>
    <mergeCell ref="K114:K115"/>
    <mergeCell ref="L114:L115"/>
    <mergeCell ref="M114:M115"/>
    <mergeCell ref="P114:P115"/>
    <mergeCell ref="A116:A117"/>
    <mergeCell ref="B116:B117"/>
    <mergeCell ref="L116:L117"/>
    <mergeCell ref="A119:A121"/>
    <mergeCell ref="B119:D119"/>
    <mergeCell ref="E119:G119"/>
    <mergeCell ref="H119:H121"/>
    <mergeCell ref="J119:J121"/>
    <mergeCell ref="K119:M119"/>
    <mergeCell ref="N119:P120"/>
    <mergeCell ref="B120:B121"/>
    <mergeCell ref="C120:C121"/>
    <mergeCell ref="D120:D121"/>
    <mergeCell ref="E120:E121"/>
    <mergeCell ref="F120:F121"/>
    <mergeCell ref="G120:G121"/>
    <mergeCell ref="K120:K121"/>
    <mergeCell ref="L120:L121"/>
    <mergeCell ref="M120:M121"/>
    <mergeCell ref="E124:H124"/>
    <mergeCell ref="N124:P124"/>
    <mergeCell ref="B129:B130"/>
    <mergeCell ref="C129:D129"/>
    <mergeCell ref="E129:F129"/>
    <mergeCell ref="H129:H130"/>
    <mergeCell ref="J129:J130"/>
    <mergeCell ref="K129:K130"/>
    <mergeCell ref="L129:L130"/>
    <mergeCell ref="M129:M130"/>
    <mergeCell ref="P129:P130"/>
    <mergeCell ref="A131:A132"/>
    <mergeCell ref="B131:B132"/>
    <mergeCell ref="L131:L132"/>
    <mergeCell ref="A134:A136"/>
    <mergeCell ref="B134:D134"/>
    <mergeCell ref="E134:G134"/>
    <mergeCell ref="H134:H136"/>
    <mergeCell ref="J134:J136"/>
    <mergeCell ref="K134:M134"/>
    <mergeCell ref="N134:P135"/>
    <mergeCell ref="B135:B136"/>
    <mergeCell ref="C135:C136"/>
    <mergeCell ref="D135:D136"/>
    <mergeCell ref="E135:E136"/>
    <mergeCell ref="F135:F136"/>
    <mergeCell ref="G135:G136"/>
    <mergeCell ref="K135:K136"/>
    <mergeCell ref="L135:L136"/>
    <mergeCell ref="M135:M136"/>
    <mergeCell ref="E139:H139"/>
    <mergeCell ref="N139:P139"/>
    <mergeCell ref="B144:B145"/>
    <mergeCell ref="C144:D144"/>
    <mergeCell ref="E144:F144"/>
    <mergeCell ref="H144:H145"/>
    <mergeCell ref="J144:J145"/>
    <mergeCell ref="K144:K145"/>
    <mergeCell ref="L144:L145"/>
    <mergeCell ref="M144:M145"/>
    <mergeCell ref="P144:P145"/>
    <mergeCell ref="A146:A147"/>
    <mergeCell ref="B146:B147"/>
    <mergeCell ref="L146:L147"/>
    <mergeCell ref="A149:A151"/>
    <mergeCell ref="B149:D149"/>
    <mergeCell ref="E149:G149"/>
    <mergeCell ref="H149:H151"/>
    <mergeCell ref="J149:J151"/>
    <mergeCell ref="K149:M149"/>
    <mergeCell ref="N149:P150"/>
    <mergeCell ref="B150:B151"/>
    <mergeCell ref="C150:C151"/>
    <mergeCell ref="D150:D151"/>
    <mergeCell ref="E150:E151"/>
    <mergeCell ref="F150:F151"/>
    <mergeCell ref="G150:G151"/>
    <mergeCell ref="K150:K151"/>
    <mergeCell ref="L150:L151"/>
    <mergeCell ref="M150:M151"/>
    <mergeCell ref="E154:H154"/>
    <mergeCell ref="N154:P154"/>
    <mergeCell ref="B159:B160"/>
    <mergeCell ref="C159:D159"/>
    <mergeCell ref="E159:F159"/>
    <mergeCell ref="H159:H160"/>
    <mergeCell ref="J159:J160"/>
    <mergeCell ref="K159:K160"/>
    <mergeCell ref="L159:L160"/>
    <mergeCell ref="M159:M160"/>
    <mergeCell ref="P159:P160"/>
    <mergeCell ref="A161:A162"/>
    <mergeCell ref="B161:B162"/>
    <mergeCell ref="L161:L162"/>
    <mergeCell ref="A164:A166"/>
    <mergeCell ref="B164:D164"/>
    <mergeCell ref="E164:G164"/>
    <mergeCell ref="H164:H166"/>
    <mergeCell ref="J164:J166"/>
    <mergeCell ref="K164:M164"/>
    <mergeCell ref="N164:P165"/>
    <mergeCell ref="B165:B166"/>
    <mergeCell ref="C165:C166"/>
    <mergeCell ref="D165:D166"/>
    <mergeCell ref="E165:E166"/>
    <mergeCell ref="F165:F166"/>
    <mergeCell ref="G165:G166"/>
    <mergeCell ref="K165:K166"/>
    <mergeCell ref="L165:L166"/>
    <mergeCell ref="M165:M166"/>
    <mergeCell ref="E169:H169"/>
    <mergeCell ref="N169:P169"/>
    <mergeCell ref="B174:B175"/>
    <mergeCell ref="C174:D174"/>
    <mergeCell ref="E174:F174"/>
    <mergeCell ref="H174:H175"/>
    <mergeCell ref="J174:J175"/>
    <mergeCell ref="K174:K175"/>
    <mergeCell ref="L174:L175"/>
    <mergeCell ref="M174:M175"/>
    <mergeCell ref="P174:P175"/>
    <mergeCell ref="A176:A177"/>
    <mergeCell ref="B176:B177"/>
    <mergeCell ref="L176:L177"/>
    <mergeCell ref="A179:A181"/>
    <mergeCell ref="B179:D179"/>
    <mergeCell ref="E179:G179"/>
    <mergeCell ref="H179:H181"/>
    <mergeCell ref="J179:J181"/>
    <mergeCell ref="K179:M179"/>
    <mergeCell ref="N179:P180"/>
    <mergeCell ref="B180:B181"/>
    <mergeCell ref="C180:C181"/>
    <mergeCell ref="D180:D181"/>
    <mergeCell ref="E180:E181"/>
    <mergeCell ref="F180:F181"/>
    <mergeCell ref="G180:G181"/>
    <mergeCell ref="K180:K181"/>
    <mergeCell ref="L180:L181"/>
    <mergeCell ref="M180:M181"/>
    <mergeCell ref="E184:H184"/>
    <mergeCell ref="N184:P184"/>
    <mergeCell ref="B189:B190"/>
    <mergeCell ref="C189:D189"/>
    <mergeCell ref="E189:F189"/>
    <mergeCell ref="H189:H190"/>
    <mergeCell ref="J189:J190"/>
    <mergeCell ref="K189:K190"/>
    <mergeCell ref="L189:L190"/>
    <mergeCell ref="M189:M190"/>
    <mergeCell ref="P189:P190"/>
    <mergeCell ref="A191:A192"/>
    <mergeCell ref="B191:B192"/>
    <mergeCell ref="L191:L192"/>
    <mergeCell ref="A194:A196"/>
    <mergeCell ref="B194:D194"/>
    <mergeCell ref="E194:G194"/>
    <mergeCell ref="H194:H196"/>
    <mergeCell ref="J194:J196"/>
    <mergeCell ref="K194:M194"/>
    <mergeCell ref="N194:P195"/>
    <mergeCell ref="B195:B196"/>
    <mergeCell ref="C195:C196"/>
    <mergeCell ref="D195:D196"/>
    <mergeCell ref="E195:E196"/>
    <mergeCell ref="F195:F196"/>
    <mergeCell ref="G195:G196"/>
    <mergeCell ref="K195:K196"/>
    <mergeCell ref="L195:L196"/>
    <mergeCell ref="M195:M196"/>
    <mergeCell ref="E199:H199"/>
    <mergeCell ref="N199:P199"/>
    <mergeCell ref="B204:B205"/>
    <mergeCell ref="C204:D204"/>
    <mergeCell ref="E204:F204"/>
    <mergeCell ref="H204:H205"/>
    <mergeCell ref="J204:J205"/>
    <mergeCell ref="K204:K205"/>
    <mergeCell ref="L204:L205"/>
    <mergeCell ref="M204:M205"/>
    <mergeCell ref="P204:P205"/>
    <mergeCell ref="A206:A207"/>
    <mergeCell ref="B206:B207"/>
    <mergeCell ref="L206:L207"/>
    <mergeCell ref="A209:A211"/>
    <mergeCell ref="B209:D209"/>
    <mergeCell ref="E209:G209"/>
    <mergeCell ref="H209:H211"/>
    <mergeCell ref="J209:J211"/>
    <mergeCell ref="K209:M209"/>
    <mergeCell ref="N209:P210"/>
    <mergeCell ref="B210:B211"/>
    <mergeCell ref="C210:C211"/>
    <mergeCell ref="D210:D211"/>
    <mergeCell ref="E210:E211"/>
    <mergeCell ref="F210:F211"/>
    <mergeCell ref="G210:G211"/>
    <mergeCell ref="K210:K211"/>
    <mergeCell ref="L210:L211"/>
    <mergeCell ref="M210:M211"/>
    <mergeCell ref="E214:H214"/>
    <mergeCell ref="N214:P214"/>
    <mergeCell ref="B219:B220"/>
    <mergeCell ref="C219:D219"/>
    <mergeCell ref="E219:F219"/>
    <mergeCell ref="H219:H220"/>
    <mergeCell ref="J219:J220"/>
    <mergeCell ref="K219:K220"/>
    <mergeCell ref="L219:L220"/>
    <mergeCell ref="M219:M220"/>
    <mergeCell ref="P219:P220"/>
    <mergeCell ref="A221:A222"/>
    <mergeCell ref="B221:B222"/>
    <mergeCell ref="L221:L222"/>
    <mergeCell ref="A224:A226"/>
    <mergeCell ref="B224:D224"/>
    <mergeCell ref="E224:G224"/>
    <mergeCell ref="H224:H226"/>
    <mergeCell ref="J224:J226"/>
    <mergeCell ref="K224:M224"/>
    <mergeCell ref="E229:H229"/>
    <mergeCell ref="N229:P229"/>
    <mergeCell ref="N224:P225"/>
    <mergeCell ref="B225:B226"/>
    <mergeCell ref="C225:C226"/>
    <mergeCell ref="D225:D226"/>
    <mergeCell ref="E225:E226"/>
    <mergeCell ref="F225:F226"/>
    <mergeCell ref="G225:G226"/>
    <mergeCell ref="K225:K226"/>
    <mergeCell ref="L225:L226"/>
    <mergeCell ref="M225:M226"/>
  </mergeCells>
  <conditionalFormatting sqref="G11">
    <cfRule type="cellIs" dxfId="134" priority="2" operator="equal">
      <formula>"&lt;100%"</formula>
    </cfRule>
  </conditionalFormatting>
  <conditionalFormatting sqref="G116">
    <cfRule type="cellIs" dxfId="133" priority="3" operator="equal">
      <formula>"&lt;100%"</formula>
    </cfRule>
  </conditionalFormatting>
  <conditionalFormatting sqref="G146">
    <cfRule type="cellIs" dxfId="132" priority="4" operator="equal">
      <formula>"&lt;100%"</formula>
    </cfRule>
  </conditionalFormatting>
  <conditionalFormatting sqref="G161">
    <cfRule type="cellIs" dxfId="131" priority="5" operator="equal">
      <formula>"&lt;100%"</formula>
    </cfRule>
  </conditionalFormatting>
  <conditionalFormatting sqref="G56">
    <cfRule type="cellIs" dxfId="130" priority="6" operator="equal">
      <formula>"&lt;100%"</formula>
    </cfRule>
  </conditionalFormatting>
  <conditionalFormatting sqref="G26">
    <cfRule type="cellIs" dxfId="129" priority="7" operator="equal">
      <formula>"&lt;100%"</formula>
    </cfRule>
  </conditionalFormatting>
  <conditionalFormatting sqref="G41">
    <cfRule type="cellIs" dxfId="128" priority="8" operator="equal">
      <formula>"&lt;100%"</formula>
    </cfRule>
  </conditionalFormatting>
  <conditionalFormatting sqref="G11">
    <cfRule type="cellIs" dxfId="127" priority="9" operator="equal">
      <formula>"&gt;100%"</formula>
    </cfRule>
  </conditionalFormatting>
  <conditionalFormatting sqref="G116">
    <cfRule type="cellIs" dxfId="126" priority="10" operator="equal">
      <formula>"&gt;100%"</formula>
    </cfRule>
  </conditionalFormatting>
  <conditionalFormatting sqref="G146">
    <cfRule type="cellIs" dxfId="125" priority="11" operator="equal">
      <formula>"&gt;100%"</formula>
    </cfRule>
  </conditionalFormatting>
  <conditionalFormatting sqref="G161">
    <cfRule type="cellIs" dxfId="124" priority="12" operator="equal">
      <formula>"&gt;100%"</formula>
    </cfRule>
  </conditionalFormatting>
  <conditionalFormatting sqref="G56">
    <cfRule type="cellIs" dxfId="123" priority="13" operator="equal">
      <formula>"&gt;100%"</formula>
    </cfRule>
  </conditionalFormatting>
  <conditionalFormatting sqref="G26">
    <cfRule type="cellIs" dxfId="122" priority="14" operator="equal">
      <formula>"&gt;100%"</formula>
    </cfRule>
  </conditionalFormatting>
  <conditionalFormatting sqref="G41">
    <cfRule type="cellIs" dxfId="121" priority="15" operator="equal">
      <formula>"&gt;100%"</formula>
    </cfRule>
  </conditionalFormatting>
  <conditionalFormatting sqref="G11">
    <cfRule type="cellIs" dxfId="120" priority="16" operator="equal">
      <formula>"OK"</formula>
    </cfRule>
  </conditionalFormatting>
  <conditionalFormatting sqref="G116">
    <cfRule type="cellIs" dxfId="119" priority="17" operator="equal">
      <formula>"OK"</formula>
    </cfRule>
  </conditionalFormatting>
  <conditionalFormatting sqref="G146">
    <cfRule type="cellIs" dxfId="118" priority="18" operator="equal">
      <formula>"OK"</formula>
    </cfRule>
  </conditionalFormatting>
  <conditionalFormatting sqref="G161">
    <cfRule type="cellIs" dxfId="117" priority="19" operator="equal">
      <formula>"OK"</formula>
    </cfRule>
  </conditionalFormatting>
  <conditionalFormatting sqref="G56">
    <cfRule type="cellIs" dxfId="116" priority="20" operator="equal">
      <formula>"OK"</formula>
    </cfRule>
  </conditionalFormatting>
  <conditionalFormatting sqref="G26">
    <cfRule type="cellIs" dxfId="115" priority="21" operator="equal">
      <formula>"OK"</formula>
    </cfRule>
  </conditionalFormatting>
  <conditionalFormatting sqref="G41">
    <cfRule type="cellIs" dxfId="114" priority="22" operator="equal">
      <formula>"OK"</formula>
    </cfRule>
  </conditionalFormatting>
  <conditionalFormatting sqref="K124">
    <cfRule type="expression" dxfId="113" priority="23">
      <formula>"ou(K19&lt;$AA$4;k19&gt;$AA$5)"</formula>
    </cfRule>
  </conditionalFormatting>
  <conditionalFormatting sqref="K154">
    <cfRule type="expression" dxfId="112" priority="24">
      <formula>"ou(K19&lt;$AA$4;k19&gt;$AA$5)"</formula>
    </cfRule>
  </conditionalFormatting>
  <conditionalFormatting sqref="K169">
    <cfRule type="expression" dxfId="111" priority="25">
      <formula>"ou(K19&lt;$AA$4;k19&gt;$AA$5)"</formula>
    </cfRule>
  </conditionalFormatting>
  <conditionalFormatting sqref="K19">
    <cfRule type="expression" dxfId="110" priority="26">
      <formula>"ou(K19&lt;$AA$4;k19&gt;$AA$5)"</formula>
    </cfRule>
  </conditionalFormatting>
  <conditionalFormatting sqref="K34">
    <cfRule type="expression" dxfId="109" priority="27">
      <formula>"ou(K19&lt;$AA$4;k19&gt;$AA$5)"</formula>
    </cfRule>
  </conditionalFormatting>
  <conditionalFormatting sqref="K49">
    <cfRule type="expression" dxfId="108" priority="28">
      <formula>"ou(K19&lt;$AA$4;k19&gt;$AA$5)"</formula>
    </cfRule>
  </conditionalFormatting>
  <conditionalFormatting sqref="K64">
    <cfRule type="expression" dxfId="107" priority="29">
      <formula>"ou(K19&lt;$AA$4;k19&gt;$AA$5)"</formula>
    </cfRule>
  </conditionalFormatting>
  <conditionalFormatting sqref="B124">
    <cfRule type="expression" dxfId="106" priority="30">
      <formula>OR(B124&lt;$AD$4,B124&gt;$AD$5)</formula>
    </cfRule>
  </conditionalFormatting>
  <conditionalFormatting sqref="B154">
    <cfRule type="expression" dxfId="105" priority="31">
      <formula>OR(B154&lt;$AD$4,B154&gt;$AD$5)</formula>
    </cfRule>
  </conditionalFormatting>
  <conditionalFormatting sqref="B169">
    <cfRule type="expression" dxfId="104" priority="32">
      <formula>OR(B169&lt;$AD$4,B169&gt;$AD$5)</formula>
    </cfRule>
  </conditionalFormatting>
  <conditionalFormatting sqref="B19">
    <cfRule type="expression" dxfId="103" priority="33">
      <formula>OR(B19&lt;$AD$4,B19&gt;$AD$5)</formula>
    </cfRule>
  </conditionalFormatting>
  <conditionalFormatting sqref="B34">
    <cfRule type="expression" dxfId="102" priority="34">
      <formula>OR(B34&lt;$AD$4,B34&gt;$AD$5)</formula>
    </cfRule>
  </conditionalFormatting>
  <conditionalFormatting sqref="B49">
    <cfRule type="expression" dxfId="101" priority="35">
      <formula>OR(B49&lt;$AD$4,B49&gt;$AD$5)</formula>
    </cfRule>
  </conditionalFormatting>
  <conditionalFormatting sqref="B64">
    <cfRule type="expression" dxfId="100" priority="36">
      <formula>OR(B64&lt;$AD$4,B64&gt;$AD$5)</formula>
    </cfRule>
  </conditionalFormatting>
  <conditionalFormatting sqref="K124">
    <cfRule type="expression" dxfId="99" priority="37">
      <formula>OR(K124&lt;$AA$4,K124&gt;$AA$5)</formula>
    </cfRule>
  </conditionalFormatting>
  <conditionalFormatting sqref="K154">
    <cfRule type="expression" dxfId="98" priority="38">
      <formula>OR(K154&lt;$AA$4,K154&gt;$AA$5)</formula>
    </cfRule>
  </conditionalFormatting>
  <conditionalFormatting sqref="K169">
    <cfRule type="expression" dxfId="97" priority="39">
      <formula>OR(K169&lt;$AA$4,K169&gt;$AA$5)</formula>
    </cfRule>
  </conditionalFormatting>
  <conditionalFormatting sqref="K19">
    <cfRule type="expression" dxfId="96" priority="40">
      <formula>OR(K19&lt;$AA$4,K19&gt;$AA$5)</formula>
    </cfRule>
  </conditionalFormatting>
  <conditionalFormatting sqref="K34">
    <cfRule type="expression" dxfId="95" priority="41">
      <formula>OR(K34&lt;$AA$4,K34&gt;$AA$5)</formula>
    </cfRule>
  </conditionalFormatting>
  <conditionalFormatting sqref="K49">
    <cfRule type="expression" dxfId="94" priority="42">
      <formula>OR(K49&lt;$AA$4,K49&gt;$AA$5)</formula>
    </cfRule>
  </conditionalFormatting>
  <conditionalFormatting sqref="K64">
    <cfRule type="expression" dxfId="93" priority="43">
      <formula>OR(K64&lt;$AA$4,K64&gt;$AA$5)</formula>
    </cfRule>
  </conditionalFormatting>
  <conditionalFormatting sqref="L124">
    <cfRule type="expression" dxfId="92" priority="44">
      <formula>OR(L124&lt;$AB$4,L124&gt;$AB$5)</formula>
    </cfRule>
  </conditionalFormatting>
  <conditionalFormatting sqref="L154">
    <cfRule type="expression" dxfId="91" priority="45">
      <formula>OR(L154&lt;$AB$4,L154&gt;$AB$5)</formula>
    </cfRule>
  </conditionalFormatting>
  <conditionalFormatting sqref="L169">
    <cfRule type="expression" dxfId="90" priority="46">
      <formula>OR(L169&lt;$AB$4,L169&gt;$AB$5)</formula>
    </cfRule>
  </conditionalFormatting>
  <conditionalFormatting sqref="L19">
    <cfRule type="expression" dxfId="89" priority="47">
      <formula>OR(L19&lt;$AB$4,L19&gt;$AB$5)</formula>
    </cfRule>
  </conditionalFormatting>
  <conditionalFormatting sqref="L34">
    <cfRule type="expression" dxfId="88" priority="48">
      <formula>OR(L34&lt;$AB$4,L34&gt;$AB$5)</formula>
    </cfRule>
  </conditionalFormatting>
  <conditionalFormatting sqref="L49">
    <cfRule type="expression" dxfId="87" priority="49">
      <formula>OR(L49&lt;$AB$4,L49&gt;$AB$5)</formula>
    </cfRule>
  </conditionalFormatting>
  <conditionalFormatting sqref="L64">
    <cfRule type="expression" dxfId="86" priority="50">
      <formula>OR(L64&lt;$AB$4,L64&gt;$AB$5)</formula>
    </cfRule>
  </conditionalFormatting>
  <conditionalFormatting sqref="M124">
    <cfRule type="expression" dxfId="85" priority="51">
      <formula>OR(M124&lt;$AC$4,M124&gt;$AC$5)</formula>
    </cfRule>
  </conditionalFormatting>
  <conditionalFormatting sqref="M154">
    <cfRule type="expression" dxfId="84" priority="52">
      <formula>OR(M154&lt;$AC$4,M154&gt;$AC$5)</formula>
    </cfRule>
  </conditionalFormatting>
  <conditionalFormatting sqref="M169">
    <cfRule type="expression" dxfId="83" priority="53">
      <formula>OR(M169&lt;$AC$4,M169&gt;$AC$5)</formula>
    </cfRule>
  </conditionalFormatting>
  <conditionalFormatting sqref="M19">
    <cfRule type="expression" dxfId="82" priority="54">
      <formula>OR(M19&lt;$AC$4,M19&gt;$AC$5)</formula>
    </cfRule>
  </conditionalFormatting>
  <conditionalFormatting sqref="M34">
    <cfRule type="expression" dxfId="81" priority="55">
      <formula>OR(M34&lt;$AC$4,M34&gt;$AC$5)</formula>
    </cfRule>
  </conditionalFormatting>
  <conditionalFormatting sqref="M49">
    <cfRule type="expression" dxfId="80" priority="56">
      <formula>OR(M49&lt;$AC$4,M49&gt;$AC$5)</formula>
    </cfRule>
  </conditionalFormatting>
  <conditionalFormatting sqref="M64">
    <cfRule type="expression" dxfId="79" priority="57">
      <formula>OR(M64&lt;$AC$4,M64&gt;$AC$5)</formula>
    </cfRule>
  </conditionalFormatting>
  <conditionalFormatting sqref="G71">
    <cfRule type="cellIs" dxfId="78" priority="58" operator="equal">
      <formula>"&lt;100%"</formula>
    </cfRule>
  </conditionalFormatting>
  <conditionalFormatting sqref="G71">
    <cfRule type="cellIs" dxfId="77" priority="59" operator="equal">
      <formula>"&gt;100%"</formula>
    </cfRule>
  </conditionalFormatting>
  <conditionalFormatting sqref="G71">
    <cfRule type="cellIs" dxfId="76" priority="60" operator="equal">
      <formula>"OK"</formula>
    </cfRule>
  </conditionalFormatting>
  <conditionalFormatting sqref="K79">
    <cfRule type="expression" dxfId="75" priority="61">
      <formula>"ou(K19&lt;$AA$4;k19&gt;$AA$5)"</formula>
    </cfRule>
  </conditionalFormatting>
  <conditionalFormatting sqref="B79">
    <cfRule type="expression" dxfId="74" priority="62">
      <formula>OR(B79&lt;$AD$4,B79&gt;$AD$5)</formula>
    </cfRule>
  </conditionalFormatting>
  <conditionalFormatting sqref="K79">
    <cfRule type="expression" dxfId="73" priority="63">
      <formula>OR(K79&lt;$AA$4,K79&gt;$AA$5)</formula>
    </cfRule>
  </conditionalFormatting>
  <conditionalFormatting sqref="L79">
    <cfRule type="expression" dxfId="72" priority="64">
      <formula>OR(L79&lt;$AB$4,L79&gt;$AB$5)</formula>
    </cfRule>
  </conditionalFormatting>
  <conditionalFormatting sqref="M79">
    <cfRule type="expression" dxfId="71" priority="65">
      <formula>OR(M79&lt;$AC$4,M79&gt;$AC$5)</formula>
    </cfRule>
  </conditionalFormatting>
  <conditionalFormatting sqref="G86">
    <cfRule type="cellIs" dxfId="70" priority="66" operator="equal">
      <formula>"&lt;100%"</formula>
    </cfRule>
  </conditionalFormatting>
  <conditionalFormatting sqref="G86">
    <cfRule type="cellIs" dxfId="69" priority="67" operator="equal">
      <formula>"&gt;100%"</formula>
    </cfRule>
  </conditionalFormatting>
  <conditionalFormatting sqref="G86">
    <cfRule type="cellIs" dxfId="68" priority="68" operator="equal">
      <formula>"OK"</formula>
    </cfRule>
  </conditionalFormatting>
  <conditionalFormatting sqref="K94">
    <cfRule type="expression" dxfId="67" priority="69">
      <formula>"ou(K19&lt;$AA$4;k19&gt;$AA$5)"</formula>
    </cfRule>
  </conditionalFormatting>
  <conditionalFormatting sqref="B94">
    <cfRule type="expression" dxfId="66" priority="70">
      <formula>OR(B94&lt;$AD$4,B94&gt;$AD$5)</formula>
    </cfRule>
  </conditionalFormatting>
  <conditionalFormatting sqref="K94">
    <cfRule type="expression" dxfId="65" priority="71">
      <formula>OR(K94&lt;$AA$4,K94&gt;$AA$5)</formula>
    </cfRule>
  </conditionalFormatting>
  <conditionalFormatting sqref="L94">
    <cfRule type="expression" dxfId="64" priority="72">
      <formula>OR(L94&lt;$AB$4,L94&gt;$AB$5)</formula>
    </cfRule>
  </conditionalFormatting>
  <conditionalFormatting sqref="M94">
    <cfRule type="expression" dxfId="63" priority="73">
      <formula>OR(M94&lt;$AC$4,M94&gt;$AC$5)</formula>
    </cfRule>
  </conditionalFormatting>
  <conditionalFormatting sqref="G101">
    <cfRule type="cellIs" dxfId="62" priority="74" operator="equal">
      <formula>"&lt;100%"</formula>
    </cfRule>
  </conditionalFormatting>
  <conditionalFormatting sqref="G101">
    <cfRule type="cellIs" dxfId="61" priority="75" operator="equal">
      <formula>"&gt;100%"</formula>
    </cfRule>
  </conditionalFormatting>
  <conditionalFormatting sqref="G101">
    <cfRule type="cellIs" dxfId="60" priority="76" operator="equal">
      <formula>"OK"</formula>
    </cfRule>
  </conditionalFormatting>
  <conditionalFormatting sqref="K109">
    <cfRule type="expression" dxfId="59" priority="77">
      <formula>"ou(K19&lt;$AA$4;k19&gt;$AA$5)"</formula>
    </cfRule>
  </conditionalFormatting>
  <conditionalFormatting sqref="B109">
    <cfRule type="expression" dxfId="58" priority="78">
      <formula>OR(B109&lt;$AD$4,B109&gt;$AD$5)</formula>
    </cfRule>
  </conditionalFormatting>
  <conditionalFormatting sqref="K109">
    <cfRule type="expression" dxfId="57" priority="79">
      <formula>OR(K109&lt;$AA$4,K109&gt;$AA$5)</formula>
    </cfRule>
  </conditionalFormatting>
  <conditionalFormatting sqref="L109">
    <cfRule type="expression" dxfId="56" priority="80">
      <formula>OR(L109&lt;$AB$4,L109&gt;$AB$5)</formula>
    </cfRule>
  </conditionalFormatting>
  <conditionalFormatting sqref="M109">
    <cfRule type="expression" dxfId="55" priority="81">
      <formula>OR(M109&lt;$AC$4,M109&gt;$AC$5)</formula>
    </cfRule>
  </conditionalFormatting>
  <conditionalFormatting sqref="G131">
    <cfRule type="cellIs" dxfId="54" priority="82" operator="equal">
      <formula>"&lt;100%"</formula>
    </cfRule>
  </conditionalFormatting>
  <conditionalFormatting sqref="G131">
    <cfRule type="cellIs" dxfId="53" priority="83" operator="equal">
      <formula>"&gt;100%"</formula>
    </cfRule>
  </conditionalFormatting>
  <conditionalFormatting sqref="G131">
    <cfRule type="cellIs" dxfId="52" priority="84" operator="equal">
      <formula>"OK"</formula>
    </cfRule>
  </conditionalFormatting>
  <conditionalFormatting sqref="K139">
    <cfRule type="expression" dxfId="51" priority="85">
      <formula>"ou(K19&lt;$AA$4;k19&gt;$AA$5)"</formula>
    </cfRule>
  </conditionalFormatting>
  <conditionalFormatting sqref="B139">
    <cfRule type="expression" dxfId="50" priority="86">
      <formula>OR(B139&lt;$AD$4,B139&gt;$AD$5)</formula>
    </cfRule>
  </conditionalFormatting>
  <conditionalFormatting sqref="K139">
    <cfRule type="expression" dxfId="49" priority="87">
      <formula>OR(K139&lt;$AA$4,K139&gt;$AA$5)</formula>
    </cfRule>
  </conditionalFormatting>
  <conditionalFormatting sqref="L139">
    <cfRule type="expression" dxfId="48" priority="88">
      <formula>OR(L139&lt;$AB$4,L139&gt;$AB$5)</formula>
    </cfRule>
  </conditionalFormatting>
  <conditionalFormatting sqref="M139">
    <cfRule type="expression" dxfId="47" priority="89">
      <formula>OR(M139&lt;$AC$4,M139&gt;$AC$5)</formula>
    </cfRule>
  </conditionalFormatting>
  <conditionalFormatting sqref="G176">
    <cfRule type="cellIs" dxfId="46" priority="90" operator="equal">
      <formula>"&lt;100%"</formula>
    </cfRule>
  </conditionalFormatting>
  <conditionalFormatting sqref="G176">
    <cfRule type="cellIs" dxfId="45" priority="91" operator="equal">
      <formula>"&gt;100%"</formula>
    </cfRule>
  </conditionalFormatting>
  <conditionalFormatting sqref="G176">
    <cfRule type="cellIs" dxfId="44" priority="92" operator="equal">
      <formula>"OK"</formula>
    </cfRule>
  </conditionalFormatting>
  <conditionalFormatting sqref="K184">
    <cfRule type="expression" dxfId="43" priority="93">
      <formula>"ou(K19&lt;$AA$4;k19&gt;$AA$5)"</formula>
    </cfRule>
  </conditionalFormatting>
  <conditionalFormatting sqref="B184">
    <cfRule type="expression" dxfId="42" priority="94">
      <formula>OR(B184&lt;$AD$4,B184&gt;$AD$5)</formula>
    </cfRule>
  </conditionalFormatting>
  <conditionalFormatting sqref="K184">
    <cfRule type="expression" dxfId="41" priority="95">
      <formula>OR(K184&lt;$AA$4,K184&gt;$AA$5)</formula>
    </cfRule>
  </conditionalFormatting>
  <conditionalFormatting sqref="L184">
    <cfRule type="expression" dxfId="40" priority="96">
      <formula>OR(L184&lt;$AB$4,L184&gt;$AB$5)</formula>
    </cfRule>
  </conditionalFormatting>
  <conditionalFormatting sqref="M184">
    <cfRule type="expression" dxfId="39" priority="97">
      <formula>OR(M184&lt;$AC$4,M184&gt;$AC$5)</formula>
    </cfRule>
  </conditionalFormatting>
  <conditionalFormatting sqref="G191">
    <cfRule type="cellIs" dxfId="38" priority="98" operator="equal">
      <formula>"&lt;100%"</formula>
    </cfRule>
  </conditionalFormatting>
  <conditionalFormatting sqref="G191">
    <cfRule type="cellIs" dxfId="37" priority="99" operator="equal">
      <formula>"&gt;100%"</formula>
    </cfRule>
  </conditionalFormatting>
  <conditionalFormatting sqref="G191">
    <cfRule type="cellIs" dxfId="36" priority="100" operator="equal">
      <formula>"OK"</formula>
    </cfRule>
  </conditionalFormatting>
  <conditionalFormatting sqref="K199">
    <cfRule type="expression" dxfId="35" priority="101">
      <formula>"ou(K19&lt;$AA$4;k19&gt;$AA$5)"</formula>
    </cfRule>
  </conditionalFormatting>
  <conditionalFormatting sqref="B199">
    <cfRule type="expression" dxfId="34" priority="102">
      <formula>OR(B199&lt;$AD$4,B199&gt;$AD$5)</formula>
    </cfRule>
  </conditionalFormatting>
  <conditionalFormatting sqref="K199">
    <cfRule type="expression" dxfId="33" priority="103">
      <formula>OR(K199&lt;$AA$4,K199&gt;$AA$5)</formula>
    </cfRule>
  </conditionalFormatting>
  <conditionalFormatting sqref="L199">
    <cfRule type="expression" dxfId="32" priority="104">
      <formula>OR(L199&lt;$AB$4,L199&gt;$AB$5)</formula>
    </cfRule>
  </conditionalFormatting>
  <conditionalFormatting sqref="M199">
    <cfRule type="expression" dxfId="31" priority="105">
      <formula>OR(M199&lt;$AC$4,M199&gt;$AC$5)</formula>
    </cfRule>
  </conditionalFormatting>
  <conditionalFormatting sqref="G206">
    <cfRule type="cellIs" dxfId="30" priority="106" operator="equal">
      <formula>"&lt;100%"</formula>
    </cfRule>
  </conditionalFormatting>
  <conditionalFormatting sqref="G206">
    <cfRule type="cellIs" dxfId="29" priority="107" operator="equal">
      <formula>"&gt;100%"</formula>
    </cfRule>
  </conditionalFormatting>
  <conditionalFormatting sqref="G206">
    <cfRule type="cellIs" dxfId="28" priority="108" operator="equal">
      <formula>"OK"</formula>
    </cfRule>
  </conditionalFormatting>
  <conditionalFormatting sqref="K214">
    <cfRule type="expression" dxfId="27" priority="109">
      <formula>"ou(K19&lt;$AA$4;k19&gt;$AA$5)"</formula>
    </cfRule>
  </conditionalFormatting>
  <conditionalFormatting sqref="B214">
    <cfRule type="expression" dxfId="26" priority="110">
      <formula>OR(B214&lt;$AD$4,B214&gt;$AD$5)</formula>
    </cfRule>
  </conditionalFormatting>
  <conditionalFormatting sqref="K214">
    <cfRule type="expression" dxfId="25" priority="111">
      <formula>OR(K214&lt;$AA$4,K214&gt;$AA$5)</formula>
    </cfRule>
  </conditionalFormatting>
  <conditionalFormatting sqref="L214">
    <cfRule type="expression" dxfId="24" priority="112">
      <formula>OR(L214&lt;$AB$4,L214&gt;$AB$5)</formula>
    </cfRule>
  </conditionalFormatting>
  <conditionalFormatting sqref="M214">
    <cfRule type="expression" dxfId="23" priority="113">
      <formula>OR(M214&lt;$AC$4,M214&gt;$AC$5)</formula>
    </cfRule>
  </conditionalFormatting>
  <conditionalFormatting sqref="G221">
    <cfRule type="cellIs" dxfId="22" priority="114" operator="equal">
      <formula>"&lt;100%"</formula>
    </cfRule>
  </conditionalFormatting>
  <conditionalFormatting sqref="G221">
    <cfRule type="cellIs" dxfId="21" priority="115" operator="equal">
      <formula>"&gt;100%"</formula>
    </cfRule>
  </conditionalFormatting>
  <conditionalFormatting sqref="G221">
    <cfRule type="cellIs" dxfId="20" priority="116" operator="equal">
      <formula>"OK"</formula>
    </cfRule>
  </conditionalFormatting>
  <conditionalFormatting sqref="K229">
    <cfRule type="expression" dxfId="19" priority="117">
      <formula>"ou(K19&lt;$AA$4;k19&gt;$AA$5)"</formula>
    </cfRule>
  </conditionalFormatting>
  <conditionalFormatting sqref="B229">
    <cfRule type="expression" dxfId="18" priority="118">
      <formula>OR(B229&lt;$AD$4,B229&gt;$AD$5)</formula>
    </cfRule>
  </conditionalFormatting>
  <conditionalFormatting sqref="K229">
    <cfRule type="expression" dxfId="17" priority="119">
      <formula>OR(K229&lt;$AA$4,K229&gt;$AA$5)</formula>
    </cfRule>
  </conditionalFormatting>
  <conditionalFormatting sqref="L229">
    <cfRule type="expression" dxfId="16" priority="120">
      <formula>OR(L229&lt;$AB$4,L229&gt;$AB$5)</formula>
    </cfRule>
  </conditionalFormatting>
  <conditionalFormatting sqref="M229">
    <cfRule type="expression" dxfId="15" priority="121">
      <formula>OR(M229&lt;$AC$4,M229&gt;$AC$5)</formula>
    </cfRule>
  </conditionalFormatting>
  <conditionalFormatting sqref="P26">
    <cfRule type="expression" dxfId="14" priority="122">
      <formula>OR(P26&gt;$AE$4,P26&lt;$AE$5)</formula>
    </cfRule>
  </conditionalFormatting>
  <conditionalFormatting sqref="P11">
    <cfRule type="expression" dxfId="13" priority="123">
      <formula>OR(P11&gt;$AE$4,P11&lt;$AE$5)</formula>
    </cfRule>
  </conditionalFormatting>
  <conditionalFormatting sqref="P41">
    <cfRule type="expression" dxfId="12" priority="124">
      <formula>OR(P41&gt;$AE$4,P41&lt;$AE$5)</formula>
    </cfRule>
  </conditionalFormatting>
  <conditionalFormatting sqref="P56">
    <cfRule type="expression" dxfId="11" priority="125">
      <formula>OR(P56&gt;$AE$4,P56&lt;$AE$5)</formula>
    </cfRule>
  </conditionalFormatting>
  <conditionalFormatting sqref="P71">
    <cfRule type="expression" dxfId="10" priority="126">
      <formula>OR(P71&gt;$AE$4,P71&lt;$AE$5)</formula>
    </cfRule>
  </conditionalFormatting>
  <conditionalFormatting sqref="P86">
    <cfRule type="expression" dxfId="9" priority="127">
      <formula>OR(P86&gt;$AE$4,P86&lt;$AE$5)</formula>
    </cfRule>
  </conditionalFormatting>
  <conditionalFormatting sqref="P101">
    <cfRule type="expression" dxfId="8" priority="128">
      <formula>OR(P101&gt;$AE$4,P101&lt;$AE$5)</formula>
    </cfRule>
  </conditionalFormatting>
  <conditionalFormatting sqref="P116">
    <cfRule type="expression" dxfId="7" priority="129">
      <formula>OR(P116&gt;$AE$4,P116&lt;$AE$5)</formula>
    </cfRule>
  </conditionalFormatting>
  <conditionalFormatting sqref="P131">
    <cfRule type="expression" dxfId="6" priority="130">
      <formula>OR(P131&gt;$AE$4,P131&lt;$AE$5)</formula>
    </cfRule>
  </conditionalFormatting>
  <conditionalFormatting sqref="P146">
    <cfRule type="expression" dxfId="5" priority="131">
      <formula>OR(P146&gt;$AE$4,P146&lt;$AE$5)</formula>
    </cfRule>
  </conditionalFormatting>
  <conditionalFormatting sqref="P161">
    <cfRule type="expression" dxfId="4" priority="132">
      <formula>OR(P161&gt;$AE$4,P161&lt;$AE$5)</formula>
    </cfRule>
  </conditionalFormatting>
  <conditionalFormatting sqref="P176">
    <cfRule type="expression" dxfId="3" priority="133">
      <formula>OR(P176&gt;$AE$4,P176&lt;$AE$5)</formula>
    </cfRule>
  </conditionalFormatting>
  <conditionalFormatting sqref="P191">
    <cfRule type="expression" dxfId="2" priority="134">
      <formula>OR(P191&gt;$AE$4,P191&lt;$AE$5)</formula>
    </cfRule>
  </conditionalFormatting>
  <conditionalFormatting sqref="P206">
    <cfRule type="expression" dxfId="1" priority="135">
      <formula>OR(P206&gt;$AE$4,P206&lt;$AE$5)</formula>
    </cfRule>
  </conditionalFormatting>
  <conditionalFormatting sqref="P221">
    <cfRule type="expression" dxfId="0" priority="136">
      <formula>OR(P221&gt;$AE$4,P221&lt;$AE$5)</formula>
    </cfRule>
  </conditionalFormatting>
  <pageMargins left="0.196527777777778" right="0.196527777777778" top="1.2791666666666699" bottom="1.1680555555555601" header="0.51180555555555496" footer="0.51180555555555496"/>
  <pageSetup paperSize="9" scale="85" firstPageNumber="0" pageOrder="overThenDown" orientation="landscape" horizontalDpi="300" verticalDpi="300"/>
  <headerFooter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51"/>
  <sheetViews>
    <sheetView zoomScale="110" zoomScaleNormal="110" workbookViewId="0"/>
  </sheetViews>
  <sheetFormatPr defaultColWidth="11.83203125" defaultRowHeight="25.5"/>
  <cols>
    <col min="1" max="1" width="2.6640625" style="81" customWidth="1"/>
    <col min="2" max="2" width="4.6640625" style="82" customWidth="1"/>
    <col min="3" max="3" width="7.1640625" style="82" customWidth="1"/>
    <col min="4" max="4" width="54.5" style="83" customWidth="1"/>
    <col min="5" max="5" width="11.5" style="82" customWidth="1"/>
    <col min="6" max="6" width="7" style="82" customWidth="1"/>
    <col min="7" max="7" width="5.83203125" style="82" customWidth="1"/>
    <col min="8" max="8" width="9.83203125" style="84" customWidth="1"/>
    <col min="9" max="9" width="10.5" style="85" customWidth="1"/>
    <col min="10" max="12" width="8.6640625" style="86" customWidth="1"/>
    <col min="13" max="13" width="3.5" style="87" customWidth="1"/>
    <col min="14" max="1024" width="11.83203125" style="87"/>
  </cols>
  <sheetData>
    <row r="1" spans="1:12" ht="15" customHeight="1">
      <c r="B1" s="88" t="s">
        <v>106</v>
      </c>
      <c r="C1" s="89"/>
      <c r="I1" s="90"/>
      <c r="J1" s="91"/>
      <c r="K1" s="91"/>
      <c r="L1" s="91"/>
    </row>
    <row r="2" spans="1:12" ht="15" customHeight="1">
      <c r="B2" s="88" t="s">
        <v>107</v>
      </c>
      <c r="C2" s="89"/>
      <c r="G2" s="88"/>
      <c r="I2" s="90"/>
      <c r="J2" s="91"/>
      <c r="K2" s="91"/>
      <c r="L2" s="91"/>
    </row>
    <row r="3" spans="1:12" ht="15" customHeight="1">
      <c r="B3" s="92" t="s">
        <v>108</v>
      </c>
      <c r="C3" s="93"/>
      <c r="I3" s="94"/>
      <c r="J3" s="95"/>
      <c r="K3" s="95"/>
      <c r="L3" s="95"/>
    </row>
    <row r="4" spans="1:12" ht="22.5" customHeight="1">
      <c r="B4" s="96" t="s">
        <v>109</v>
      </c>
      <c r="C4" s="97" t="s">
        <v>110</v>
      </c>
      <c r="D4" s="97" t="s">
        <v>111</v>
      </c>
      <c r="E4" s="210" t="s">
        <v>112</v>
      </c>
      <c r="F4" s="210"/>
      <c r="G4" s="98" t="s">
        <v>109</v>
      </c>
      <c r="H4" s="99" t="s">
        <v>113</v>
      </c>
      <c r="I4" s="96" t="s">
        <v>114</v>
      </c>
      <c r="J4" s="99" t="s">
        <v>115</v>
      </c>
      <c r="K4" s="99" t="s">
        <v>116</v>
      </c>
      <c r="L4" s="99" t="s">
        <v>117</v>
      </c>
    </row>
    <row r="5" spans="1:12" s="108" customFormat="1" ht="21.95" customHeight="1">
      <c r="A5" s="100"/>
      <c r="B5" s="101">
        <v>0.5</v>
      </c>
      <c r="C5" s="102"/>
      <c r="D5" s="103" t="s">
        <v>118</v>
      </c>
      <c r="E5" s="104" t="s">
        <v>119</v>
      </c>
      <c r="F5" s="101" t="s">
        <v>120</v>
      </c>
      <c r="G5" s="101" t="s">
        <v>120</v>
      </c>
      <c r="H5" s="105"/>
      <c r="I5" s="106"/>
      <c r="J5" s="107"/>
      <c r="K5" s="107"/>
      <c r="L5" s="107"/>
    </row>
    <row r="6" spans="1:12" ht="21.95" customHeight="1">
      <c r="B6" s="109">
        <v>1</v>
      </c>
      <c r="C6" s="109" t="s">
        <v>121</v>
      </c>
      <c r="D6" s="110" t="s">
        <v>122</v>
      </c>
      <c r="E6" s="109" t="s">
        <v>123</v>
      </c>
      <c r="F6" s="109" t="s">
        <v>124</v>
      </c>
      <c r="G6" s="109" t="s">
        <v>125</v>
      </c>
      <c r="H6" s="111" t="s">
        <v>126</v>
      </c>
      <c r="I6" s="112"/>
      <c r="J6" s="113"/>
      <c r="K6" s="113" t="s">
        <v>127</v>
      </c>
      <c r="L6" s="113"/>
    </row>
    <row r="7" spans="1:12" ht="21.95" customHeight="1">
      <c r="B7" s="109">
        <v>1</v>
      </c>
      <c r="C7" s="109" t="s">
        <v>128</v>
      </c>
      <c r="D7" s="110" t="s">
        <v>129</v>
      </c>
      <c r="E7" s="109" t="s">
        <v>123</v>
      </c>
      <c r="F7" s="109" t="s">
        <v>124</v>
      </c>
      <c r="G7" s="109" t="s">
        <v>125</v>
      </c>
      <c r="H7" s="111" t="s">
        <v>126</v>
      </c>
      <c r="I7" s="112"/>
      <c r="J7" s="113"/>
      <c r="K7" s="113" t="s">
        <v>127</v>
      </c>
      <c r="L7" s="113"/>
    </row>
    <row r="8" spans="1:12" ht="21.95" customHeight="1">
      <c r="B8" s="109">
        <v>1</v>
      </c>
      <c r="C8" s="109" t="s">
        <v>130</v>
      </c>
      <c r="D8" s="110" t="s">
        <v>131</v>
      </c>
      <c r="E8" s="109" t="s">
        <v>132</v>
      </c>
      <c r="F8" s="109" t="s">
        <v>124</v>
      </c>
      <c r="G8" s="109" t="s">
        <v>125</v>
      </c>
      <c r="H8" s="111" t="s">
        <v>126</v>
      </c>
      <c r="I8" s="114"/>
      <c r="J8" s="113"/>
      <c r="K8" s="113" t="s">
        <v>127</v>
      </c>
      <c r="L8" s="113"/>
    </row>
    <row r="9" spans="1:12" ht="21.95" customHeight="1">
      <c r="B9" s="109">
        <v>1</v>
      </c>
      <c r="C9" s="109" t="s">
        <v>133</v>
      </c>
      <c r="D9" s="110" t="s">
        <v>134</v>
      </c>
      <c r="E9" s="109" t="s">
        <v>135</v>
      </c>
      <c r="F9" s="109" t="s">
        <v>124</v>
      </c>
      <c r="G9" s="109" t="s">
        <v>125</v>
      </c>
      <c r="H9" s="111" t="s">
        <v>126</v>
      </c>
      <c r="I9" s="114"/>
      <c r="J9" s="113"/>
      <c r="K9" s="113" t="s">
        <v>127</v>
      </c>
      <c r="L9" s="113"/>
    </row>
    <row r="10" spans="1:12" ht="21.95" customHeight="1">
      <c r="B10" s="109">
        <v>1</v>
      </c>
      <c r="C10" s="109" t="s">
        <v>136</v>
      </c>
      <c r="D10" s="110" t="s">
        <v>137</v>
      </c>
      <c r="E10" s="109" t="s">
        <v>138</v>
      </c>
      <c r="F10" s="109" t="s">
        <v>124</v>
      </c>
      <c r="G10" s="109" t="s">
        <v>125</v>
      </c>
      <c r="H10" s="111" t="s">
        <v>126</v>
      </c>
      <c r="I10" s="114"/>
      <c r="J10" s="113"/>
      <c r="K10" s="113" t="s">
        <v>127</v>
      </c>
      <c r="L10" s="113"/>
    </row>
    <row r="11" spans="1:12" ht="21.95" customHeight="1">
      <c r="B11" s="109">
        <v>1</v>
      </c>
      <c r="C11" s="109" t="s">
        <v>139</v>
      </c>
      <c r="D11" s="110" t="s">
        <v>140</v>
      </c>
      <c r="E11" s="109" t="s">
        <v>135</v>
      </c>
      <c r="F11" s="109" t="s">
        <v>124</v>
      </c>
      <c r="G11" s="109" t="s">
        <v>125</v>
      </c>
      <c r="H11" s="111" t="s">
        <v>126</v>
      </c>
      <c r="I11" s="114"/>
      <c r="J11" s="113"/>
      <c r="K11" s="113" t="s">
        <v>127</v>
      </c>
      <c r="L11" s="113"/>
    </row>
    <row r="12" spans="1:12" ht="21.95" customHeight="1">
      <c r="B12" s="109">
        <v>1</v>
      </c>
      <c r="C12" s="109" t="s">
        <v>141</v>
      </c>
      <c r="D12" s="110" t="s">
        <v>142</v>
      </c>
      <c r="E12" s="109" t="s">
        <v>135</v>
      </c>
      <c r="F12" s="109" t="s">
        <v>124</v>
      </c>
      <c r="G12" s="109" t="s">
        <v>125</v>
      </c>
      <c r="H12" s="111" t="s">
        <v>126</v>
      </c>
      <c r="I12" s="114"/>
      <c r="J12" s="113"/>
      <c r="K12" s="113" t="s">
        <v>127</v>
      </c>
      <c r="L12" s="113"/>
    </row>
    <row r="13" spans="1:12" ht="21.95" customHeight="1">
      <c r="B13" s="109">
        <v>1</v>
      </c>
      <c r="C13" s="109" t="s">
        <v>143</v>
      </c>
      <c r="D13" s="110" t="s">
        <v>144</v>
      </c>
      <c r="E13" s="109" t="s">
        <v>135</v>
      </c>
      <c r="F13" s="109" t="s">
        <v>124</v>
      </c>
      <c r="G13" s="109"/>
      <c r="H13" s="111" t="s">
        <v>126</v>
      </c>
      <c r="I13" s="114"/>
      <c r="J13" s="113"/>
      <c r="K13" s="113" t="s">
        <v>127</v>
      </c>
      <c r="L13" s="113"/>
    </row>
    <row r="14" spans="1:12" ht="21.95" customHeight="1">
      <c r="B14" s="109">
        <v>1</v>
      </c>
      <c r="C14" s="109" t="s">
        <v>145</v>
      </c>
      <c r="D14" s="110" t="s">
        <v>146</v>
      </c>
      <c r="E14" s="109" t="s">
        <v>135</v>
      </c>
      <c r="F14" s="109" t="s">
        <v>124</v>
      </c>
      <c r="G14" s="109"/>
      <c r="H14" s="111" t="s">
        <v>147</v>
      </c>
      <c r="I14" s="114"/>
      <c r="J14" s="113" t="s">
        <v>127</v>
      </c>
      <c r="K14" s="113" t="s">
        <v>127</v>
      </c>
      <c r="L14" s="113"/>
    </row>
    <row r="15" spans="1:12" ht="21.95" customHeight="1">
      <c r="B15" s="109">
        <v>1</v>
      </c>
      <c r="C15" s="109" t="s">
        <v>148</v>
      </c>
      <c r="D15" s="110" t="s">
        <v>149</v>
      </c>
      <c r="E15" s="109" t="s">
        <v>135</v>
      </c>
      <c r="F15" s="109" t="s">
        <v>124</v>
      </c>
      <c r="G15" s="109" t="s">
        <v>125</v>
      </c>
      <c r="H15" s="111" t="s">
        <v>147</v>
      </c>
      <c r="I15" s="114"/>
      <c r="J15" s="113" t="s">
        <v>127</v>
      </c>
      <c r="K15" s="113"/>
      <c r="L15" s="113" t="s">
        <v>127</v>
      </c>
    </row>
    <row r="16" spans="1:12" ht="21.95" customHeight="1">
      <c r="B16" s="109">
        <v>1</v>
      </c>
      <c r="C16" s="109" t="s">
        <v>150</v>
      </c>
      <c r="D16" s="110" t="s">
        <v>151</v>
      </c>
      <c r="E16" s="109" t="s">
        <v>135</v>
      </c>
      <c r="F16" s="109" t="s">
        <v>124</v>
      </c>
      <c r="G16" s="109" t="s">
        <v>125</v>
      </c>
      <c r="H16" s="111" t="s">
        <v>126</v>
      </c>
      <c r="I16" s="114"/>
      <c r="J16" s="113"/>
      <c r="K16" s="113" t="s">
        <v>127</v>
      </c>
      <c r="L16" s="113"/>
    </row>
    <row r="17" spans="1:12" ht="21.95" customHeight="1">
      <c r="B17" s="109">
        <v>1</v>
      </c>
      <c r="C17" s="109" t="s">
        <v>152</v>
      </c>
      <c r="D17" s="110" t="s">
        <v>153</v>
      </c>
      <c r="E17" s="109" t="s">
        <v>135</v>
      </c>
      <c r="F17" s="109" t="s">
        <v>124</v>
      </c>
      <c r="G17" s="109" t="s">
        <v>125</v>
      </c>
      <c r="H17" s="111" t="s">
        <v>126</v>
      </c>
      <c r="I17" s="114"/>
      <c r="J17" s="113"/>
      <c r="K17" s="113" t="s">
        <v>127</v>
      </c>
      <c r="L17" s="113"/>
    </row>
    <row r="18" spans="1:12" ht="21.95" customHeight="1">
      <c r="B18" s="109">
        <v>1</v>
      </c>
      <c r="C18" s="109" t="s">
        <v>154</v>
      </c>
      <c r="D18" s="110" t="s">
        <v>155</v>
      </c>
      <c r="E18" s="109" t="s">
        <v>156</v>
      </c>
      <c r="F18" s="109" t="s">
        <v>157</v>
      </c>
      <c r="G18" s="109" t="s">
        <v>125</v>
      </c>
      <c r="H18" s="111" t="s">
        <v>147</v>
      </c>
      <c r="I18" s="114"/>
      <c r="J18" s="113" t="s">
        <v>127</v>
      </c>
      <c r="K18" s="113"/>
      <c r="L18" s="113" t="s">
        <v>127</v>
      </c>
    </row>
    <row r="19" spans="1:12" ht="21.95" customHeight="1">
      <c r="B19" s="109">
        <v>1</v>
      </c>
      <c r="C19" s="109" t="s">
        <v>158</v>
      </c>
      <c r="D19" s="110" t="s">
        <v>159</v>
      </c>
      <c r="E19" s="109" t="s">
        <v>135</v>
      </c>
      <c r="F19" s="109" t="s">
        <v>124</v>
      </c>
      <c r="G19" s="109" t="s">
        <v>125</v>
      </c>
      <c r="H19" s="111" t="s">
        <v>147</v>
      </c>
      <c r="I19" s="114"/>
      <c r="J19" s="113" t="s">
        <v>127</v>
      </c>
      <c r="K19" s="113"/>
      <c r="L19" s="113" t="s">
        <v>127</v>
      </c>
    </row>
    <row r="20" spans="1:12" ht="21.95" customHeight="1">
      <c r="B20" s="109">
        <v>1</v>
      </c>
      <c r="C20" s="109" t="s">
        <v>160</v>
      </c>
      <c r="D20" s="110" t="s">
        <v>161</v>
      </c>
      <c r="E20" s="109" t="s">
        <v>135</v>
      </c>
      <c r="F20" s="109" t="s">
        <v>124</v>
      </c>
      <c r="G20" s="109"/>
      <c r="H20" s="111" t="s">
        <v>126</v>
      </c>
      <c r="I20" s="114"/>
      <c r="J20" s="113"/>
      <c r="K20" s="113" t="s">
        <v>127</v>
      </c>
      <c r="L20" s="113"/>
    </row>
    <row r="21" spans="1:12" ht="21.95" customHeight="1">
      <c r="B21" s="109">
        <v>1</v>
      </c>
      <c r="C21" s="109" t="s">
        <v>162</v>
      </c>
      <c r="D21" s="110" t="s">
        <v>163</v>
      </c>
      <c r="E21" s="109" t="s">
        <v>135</v>
      </c>
      <c r="F21" s="109" t="s">
        <v>124</v>
      </c>
      <c r="G21" s="109" t="s">
        <v>125</v>
      </c>
      <c r="H21" s="111" t="s">
        <v>126</v>
      </c>
      <c r="I21" s="114"/>
      <c r="J21" s="113"/>
      <c r="K21" s="113" t="s">
        <v>127</v>
      </c>
      <c r="L21" s="113"/>
    </row>
    <row r="22" spans="1:12" ht="21.95" customHeight="1">
      <c r="B22" s="109">
        <v>1</v>
      </c>
      <c r="C22" s="109" t="s">
        <v>164</v>
      </c>
      <c r="D22" s="110" t="s">
        <v>165</v>
      </c>
      <c r="E22" s="109" t="s">
        <v>135</v>
      </c>
      <c r="F22" s="109" t="s">
        <v>124</v>
      </c>
      <c r="G22" s="109" t="s">
        <v>166</v>
      </c>
      <c r="H22" s="111" t="s">
        <v>147</v>
      </c>
      <c r="I22" s="114"/>
      <c r="J22" s="113" t="s">
        <v>127</v>
      </c>
      <c r="K22" s="113" t="s">
        <v>127</v>
      </c>
      <c r="L22" s="113"/>
    </row>
    <row r="23" spans="1:12" ht="21.95" customHeight="1">
      <c r="B23" s="115">
        <v>1.5</v>
      </c>
      <c r="C23" s="115"/>
      <c r="D23" s="103" t="s">
        <v>167</v>
      </c>
      <c r="E23" s="115"/>
      <c r="F23" s="115"/>
      <c r="G23" s="115"/>
      <c r="H23" s="116"/>
      <c r="I23" s="117"/>
      <c r="J23" s="118"/>
      <c r="K23" s="119"/>
      <c r="L23" s="119"/>
    </row>
    <row r="24" spans="1:12" ht="21.95" customHeight="1">
      <c r="A24" s="81" t="s">
        <v>168</v>
      </c>
      <c r="B24" s="109">
        <v>2</v>
      </c>
      <c r="C24" s="109">
        <v>3523</v>
      </c>
      <c r="D24" s="110" t="s">
        <v>169</v>
      </c>
      <c r="E24" s="109" t="s">
        <v>170</v>
      </c>
      <c r="F24" s="109" t="s">
        <v>124</v>
      </c>
      <c r="G24" s="109"/>
      <c r="H24" s="111" t="s">
        <v>147</v>
      </c>
      <c r="I24" s="114"/>
      <c r="J24" s="113" t="s">
        <v>127</v>
      </c>
      <c r="K24" s="113" t="s">
        <v>127</v>
      </c>
      <c r="L24" s="113"/>
    </row>
    <row r="25" spans="1:12" ht="21.95" customHeight="1">
      <c r="A25" s="81" t="s">
        <v>168</v>
      </c>
      <c r="B25" s="109">
        <v>2</v>
      </c>
      <c r="C25" s="109" t="s">
        <v>171</v>
      </c>
      <c r="D25" s="110" t="s">
        <v>172</v>
      </c>
      <c r="E25" s="109" t="s">
        <v>170</v>
      </c>
      <c r="F25" s="109" t="s">
        <v>124</v>
      </c>
      <c r="G25" s="109" t="s">
        <v>125</v>
      </c>
      <c r="H25" s="111" t="s">
        <v>147</v>
      </c>
      <c r="I25" s="114"/>
      <c r="J25" s="113" t="s">
        <v>127</v>
      </c>
      <c r="K25" s="113" t="s">
        <v>127</v>
      </c>
      <c r="L25" s="113"/>
    </row>
    <row r="26" spans="1:12" ht="21.95" customHeight="1">
      <c r="B26" s="109">
        <v>2</v>
      </c>
      <c r="C26" s="109" t="s">
        <v>173</v>
      </c>
      <c r="D26" s="110" t="s">
        <v>174</v>
      </c>
      <c r="E26" s="109" t="s">
        <v>135</v>
      </c>
      <c r="F26" s="109" t="s">
        <v>124</v>
      </c>
      <c r="G26" s="109" t="s">
        <v>125</v>
      </c>
      <c r="H26" s="111" t="s">
        <v>126</v>
      </c>
      <c r="I26" s="112"/>
      <c r="J26" s="113"/>
      <c r="K26" s="113" t="s">
        <v>127</v>
      </c>
      <c r="L26" s="113"/>
    </row>
    <row r="27" spans="1:12" ht="21.95" customHeight="1">
      <c r="B27" s="109">
        <v>2</v>
      </c>
      <c r="C27" s="109" t="s">
        <v>175</v>
      </c>
      <c r="D27" s="110" t="s">
        <v>176</v>
      </c>
      <c r="E27" s="109" t="s">
        <v>135</v>
      </c>
      <c r="F27" s="109" t="s">
        <v>124</v>
      </c>
      <c r="G27" s="109"/>
      <c r="H27" s="111" t="s">
        <v>126</v>
      </c>
      <c r="I27" s="112"/>
      <c r="J27" s="113"/>
      <c r="K27" s="113" t="s">
        <v>127</v>
      </c>
      <c r="L27" s="113"/>
    </row>
    <row r="28" spans="1:12" ht="21.95" customHeight="1">
      <c r="B28" s="109">
        <v>2</v>
      </c>
      <c r="C28" s="109" t="s">
        <v>177</v>
      </c>
      <c r="D28" s="110" t="s">
        <v>178</v>
      </c>
      <c r="E28" s="109" t="s">
        <v>135</v>
      </c>
      <c r="F28" s="109" t="s">
        <v>124</v>
      </c>
      <c r="G28" s="109" t="s">
        <v>125</v>
      </c>
      <c r="H28" s="111" t="s">
        <v>126</v>
      </c>
      <c r="I28" s="114"/>
      <c r="J28" s="113"/>
      <c r="K28" s="113" t="s">
        <v>127</v>
      </c>
      <c r="L28" s="113"/>
    </row>
    <row r="29" spans="1:12" ht="21.95" customHeight="1">
      <c r="B29" s="109">
        <v>2</v>
      </c>
      <c r="C29" s="109" t="s">
        <v>179</v>
      </c>
      <c r="D29" s="110" t="s">
        <v>180</v>
      </c>
      <c r="E29" s="109" t="s">
        <v>135</v>
      </c>
      <c r="F29" s="109" t="s">
        <v>124</v>
      </c>
      <c r="G29" s="109" t="s">
        <v>125</v>
      </c>
      <c r="H29" s="111" t="s">
        <v>126</v>
      </c>
      <c r="I29" s="114"/>
      <c r="J29" s="113"/>
      <c r="K29" s="113" t="s">
        <v>127</v>
      </c>
      <c r="L29" s="113"/>
    </row>
    <row r="30" spans="1:12" ht="21.95" customHeight="1">
      <c r="B30" s="109">
        <v>2</v>
      </c>
      <c r="C30" s="109" t="s">
        <v>181</v>
      </c>
      <c r="D30" s="110" t="s">
        <v>182</v>
      </c>
      <c r="E30" s="109" t="s">
        <v>135</v>
      </c>
      <c r="F30" s="109" t="s">
        <v>124</v>
      </c>
      <c r="G30" s="109"/>
      <c r="H30" s="111" t="s">
        <v>147</v>
      </c>
      <c r="I30" s="114"/>
      <c r="J30" s="113" t="s">
        <v>127</v>
      </c>
      <c r="K30" s="113"/>
      <c r="L30" s="113" t="s">
        <v>127</v>
      </c>
    </row>
    <row r="31" spans="1:12" ht="21.95" customHeight="1">
      <c r="B31" s="109">
        <v>2</v>
      </c>
      <c r="C31" s="109" t="s">
        <v>183</v>
      </c>
      <c r="D31" s="110" t="s">
        <v>184</v>
      </c>
      <c r="E31" s="109" t="s">
        <v>135</v>
      </c>
      <c r="F31" s="109" t="s">
        <v>124</v>
      </c>
      <c r="G31" s="109"/>
      <c r="H31" s="111" t="s">
        <v>147</v>
      </c>
      <c r="I31" s="114"/>
      <c r="J31" s="113" t="s">
        <v>127</v>
      </c>
      <c r="K31" s="113" t="s">
        <v>127</v>
      </c>
      <c r="L31" s="113"/>
    </row>
    <row r="32" spans="1:12" ht="21.95" customHeight="1">
      <c r="B32" s="115">
        <v>2.5</v>
      </c>
      <c r="C32" s="115"/>
      <c r="D32" s="103" t="s">
        <v>185</v>
      </c>
      <c r="E32" s="115"/>
      <c r="F32" s="115"/>
      <c r="G32" s="115"/>
      <c r="H32" s="115"/>
      <c r="I32" s="120"/>
      <c r="J32" s="115"/>
      <c r="K32" s="121"/>
      <c r="L32" s="119"/>
    </row>
    <row r="33" spans="2:12" ht="21.95" customHeight="1">
      <c r="B33" s="109">
        <v>3</v>
      </c>
      <c r="C33" s="109" t="s">
        <v>186</v>
      </c>
      <c r="D33" s="110" t="s">
        <v>187</v>
      </c>
      <c r="E33" s="109" t="s">
        <v>188</v>
      </c>
      <c r="F33" s="109" t="s">
        <v>124</v>
      </c>
      <c r="G33" s="109" t="s">
        <v>125</v>
      </c>
      <c r="H33" s="111" t="s">
        <v>126</v>
      </c>
      <c r="I33" s="114"/>
      <c r="J33" s="113"/>
      <c r="K33" s="113" t="s">
        <v>127</v>
      </c>
      <c r="L33" s="113"/>
    </row>
    <row r="34" spans="2:12" ht="21.95" customHeight="1">
      <c r="B34" s="109">
        <v>3</v>
      </c>
      <c r="C34" s="109" t="s">
        <v>189</v>
      </c>
      <c r="D34" s="110" t="s">
        <v>190</v>
      </c>
      <c r="E34" s="109" t="s">
        <v>191</v>
      </c>
      <c r="F34" s="109" t="s">
        <v>192</v>
      </c>
      <c r="G34" s="109"/>
      <c r="H34" s="111" t="s">
        <v>147</v>
      </c>
      <c r="I34" s="114"/>
      <c r="J34" s="113" t="s">
        <v>127</v>
      </c>
      <c r="K34" s="113"/>
      <c r="L34" s="113" t="s">
        <v>127</v>
      </c>
    </row>
    <row r="35" spans="2:12" ht="21.95" customHeight="1">
      <c r="B35" s="109">
        <v>3</v>
      </c>
      <c r="C35" s="109" t="s">
        <v>193</v>
      </c>
      <c r="D35" s="110" t="s">
        <v>194</v>
      </c>
      <c r="E35" s="109" t="s">
        <v>191</v>
      </c>
      <c r="F35" s="109" t="s">
        <v>124</v>
      </c>
      <c r="G35" s="109"/>
      <c r="H35" s="111" t="s">
        <v>126</v>
      </c>
      <c r="I35" s="114"/>
      <c r="J35" s="113"/>
      <c r="K35" s="113" t="s">
        <v>127</v>
      </c>
      <c r="L35" s="113"/>
    </row>
    <row r="36" spans="2:12" ht="21.95" customHeight="1">
      <c r="B36" s="109">
        <v>3</v>
      </c>
      <c r="C36" s="109" t="s">
        <v>195</v>
      </c>
      <c r="D36" s="110" t="s">
        <v>196</v>
      </c>
      <c r="E36" s="109" t="s">
        <v>191</v>
      </c>
      <c r="F36" s="109" t="s">
        <v>192</v>
      </c>
      <c r="G36" s="109"/>
      <c r="H36" s="111" t="s">
        <v>147</v>
      </c>
      <c r="I36" s="114"/>
      <c r="J36" s="113" t="s">
        <v>127</v>
      </c>
      <c r="K36" s="113"/>
      <c r="L36" s="113" t="s">
        <v>127</v>
      </c>
    </row>
    <row r="37" spans="2:12" ht="21.95" customHeight="1">
      <c r="B37" s="115">
        <v>3.5</v>
      </c>
      <c r="C37" s="115"/>
      <c r="D37" s="103" t="s">
        <v>197</v>
      </c>
      <c r="E37" s="115"/>
      <c r="F37" s="115"/>
      <c r="G37" s="115"/>
      <c r="H37" s="115"/>
      <c r="I37" s="120"/>
      <c r="J37" s="115"/>
      <c r="K37" s="121"/>
      <c r="L37" s="119"/>
    </row>
    <row r="38" spans="2:12" ht="21.95" customHeight="1">
      <c r="B38" s="109">
        <v>4</v>
      </c>
      <c r="C38" s="109" t="s">
        <v>198</v>
      </c>
      <c r="D38" s="110" t="s">
        <v>199</v>
      </c>
      <c r="E38" s="109" t="s">
        <v>200</v>
      </c>
      <c r="F38" s="109" t="s">
        <v>124</v>
      </c>
      <c r="G38" s="109" t="s">
        <v>125</v>
      </c>
      <c r="H38" s="111" t="s">
        <v>126</v>
      </c>
      <c r="I38" s="114"/>
      <c r="J38" s="113"/>
      <c r="K38" s="113" t="s">
        <v>127</v>
      </c>
      <c r="L38" s="113"/>
    </row>
    <row r="39" spans="2:12" ht="21.95" customHeight="1">
      <c r="B39" s="109">
        <v>4</v>
      </c>
      <c r="C39" s="109" t="s">
        <v>201</v>
      </c>
      <c r="D39" s="110" t="s">
        <v>202</v>
      </c>
      <c r="E39" s="109" t="s">
        <v>191</v>
      </c>
      <c r="F39" s="109" t="s">
        <v>124</v>
      </c>
      <c r="G39" s="109" t="s">
        <v>125</v>
      </c>
      <c r="H39" s="111" t="s">
        <v>147</v>
      </c>
      <c r="I39" s="114"/>
      <c r="J39" s="113" t="s">
        <v>127</v>
      </c>
      <c r="K39" s="113"/>
      <c r="L39" s="113" t="s">
        <v>127</v>
      </c>
    </row>
    <row r="40" spans="2:12" ht="21.95" customHeight="1">
      <c r="B40" s="109">
        <v>4</v>
      </c>
      <c r="C40" s="109" t="s">
        <v>203</v>
      </c>
      <c r="D40" s="110" t="s">
        <v>204</v>
      </c>
      <c r="E40" s="109" t="s">
        <v>188</v>
      </c>
      <c r="F40" s="109" t="s">
        <v>124</v>
      </c>
      <c r="G40" s="109" t="s">
        <v>205</v>
      </c>
      <c r="H40" s="111" t="s">
        <v>126</v>
      </c>
      <c r="I40" s="114"/>
      <c r="J40" s="113"/>
      <c r="K40" s="113" t="s">
        <v>127</v>
      </c>
      <c r="L40" s="113"/>
    </row>
    <row r="41" spans="2:12" ht="21.95" customHeight="1">
      <c r="B41" s="109">
        <v>4</v>
      </c>
      <c r="C41" s="109" t="s">
        <v>206</v>
      </c>
      <c r="D41" s="110" t="s">
        <v>207</v>
      </c>
      <c r="E41" s="109" t="s">
        <v>191</v>
      </c>
      <c r="F41" s="109" t="s">
        <v>124</v>
      </c>
      <c r="G41" s="109"/>
      <c r="H41" s="111" t="s">
        <v>147</v>
      </c>
      <c r="I41" s="114"/>
      <c r="J41" s="113" t="s">
        <v>127</v>
      </c>
      <c r="K41" s="113" t="s">
        <v>127</v>
      </c>
      <c r="L41" s="113"/>
    </row>
    <row r="42" spans="2:12" ht="21.95" customHeight="1">
      <c r="B42" s="109">
        <v>4</v>
      </c>
      <c r="C42" s="109"/>
      <c r="D42" s="110" t="s">
        <v>208</v>
      </c>
      <c r="E42" s="109" t="s">
        <v>200</v>
      </c>
      <c r="F42" s="109" t="s">
        <v>124</v>
      </c>
      <c r="G42" s="109" t="s">
        <v>209</v>
      </c>
      <c r="H42" s="111" t="s">
        <v>126</v>
      </c>
      <c r="I42" s="114"/>
      <c r="J42" s="113" t="s">
        <v>127</v>
      </c>
      <c r="K42" s="113" t="s">
        <v>127</v>
      </c>
      <c r="L42" s="113" t="s">
        <v>127</v>
      </c>
    </row>
    <row r="43" spans="2:12" ht="21.95" customHeight="1">
      <c r="B43" s="109">
        <v>4</v>
      </c>
      <c r="C43" s="109" t="s">
        <v>210</v>
      </c>
      <c r="D43" s="110" t="s">
        <v>211</v>
      </c>
      <c r="E43" s="109" t="s">
        <v>200</v>
      </c>
      <c r="F43" s="109" t="s">
        <v>124</v>
      </c>
      <c r="G43" s="109" t="s">
        <v>209</v>
      </c>
      <c r="H43" s="111" t="s">
        <v>147</v>
      </c>
      <c r="I43" s="114"/>
      <c r="J43" s="113"/>
      <c r="K43" s="113" t="s">
        <v>127</v>
      </c>
      <c r="L43" s="113" t="s">
        <v>127</v>
      </c>
    </row>
    <row r="44" spans="2:12" ht="21.95" customHeight="1">
      <c r="B44" s="109">
        <v>8</v>
      </c>
      <c r="C44" s="109" t="s">
        <v>212</v>
      </c>
      <c r="D44" s="110" t="s">
        <v>213</v>
      </c>
      <c r="E44" s="109" t="s">
        <v>214</v>
      </c>
      <c r="F44" s="109" t="s">
        <v>157</v>
      </c>
      <c r="G44" s="109"/>
      <c r="H44" s="111" t="s">
        <v>147</v>
      </c>
      <c r="I44" s="114"/>
      <c r="J44" s="113" t="s">
        <v>127</v>
      </c>
      <c r="K44" s="113"/>
      <c r="L44" s="113" t="s">
        <v>127</v>
      </c>
    </row>
    <row r="45" spans="2:12" ht="21.95" customHeight="1">
      <c r="B45" s="109">
        <v>4</v>
      </c>
      <c r="C45" s="109" t="s">
        <v>215</v>
      </c>
      <c r="D45" s="110" t="s">
        <v>216</v>
      </c>
      <c r="E45" s="109" t="s">
        <v>191</v>
      </c>
      <c r="F45" s="109" t="s">
        <v>124</v>
      </c>
      <c r="G45" s="109" t="s">
        <v>125</v>
      </c>
      <c r="H45" s="111" t="s">
        <v>147</v>
      </c>
      <c r="I45" s="114"/>
      <c r="J45" s="113" t="s">
        <v>127</v>
      </c>
      <c r="K45" s="113"/>
      <c r="L45" s="113" t="s">
        <v>127</v>
      </c>
    </row>
    <row r="46" spans="2:12" ht="21.95" customHeight="1">
      <c r="B46" s="115">
        <v>4.5</v>
      </c>
      <c r="C46" s="115"/>
      <c r="D46" s="103" t="s">
        <v>217</v>
      </c>
      <c r="E46" s="115"/>
      <c r="F46" s="115"/>
      <c r="G46" s="115"/>
      <c r="H46" s="115"/>
      <c r="I46" s="120"/>
      <c r="J46" s="115"/>
      <c r="K46" s="121"/>
      <c r="L46" s="119"/>
    </row>
    <row r="47" spans="2:12" ht="21.95" customHeight="1">
      <c r="B47" s="109">
        <v>5</v>
      </c>
      <c r="C47" s="109" t="s">
        <v>218</v>
      </c>
      <c r="D47" s="110" t="s">
        <v>219</v>
      </c>
      <c r="E47" s="109" t="s">
        <v>191</v>
      </c>
      <c r="F47" s="109" t="s">
        <v>124</v>
      </c>
      <c r="G47" s="109"/>
      <c r="H47" s="111" t="s">
        <v>147</v>
      </c>
      <c r="I47" s="122"/>
      <c r="J47" s="113" t="s">
        <v>127</v>
      </c>
      <c r="K47" s="123"/>
      <c r="L47" s="123" t="s">
        <v>127</v>
      </c>
    </row>
    <row r="48" spans="2:12" ht="21.95" customHeight="1">
      <c r="B48" s="109">
        <v>5</v>
      </c>
      <c r="C48" s="109" t="s">
        <v>220</v>
      </c>
      <c r="D48" s="110" t="s">
        <v>221</v>
      </c>
      <c r="E48" s="109" t="s">
        <v>191</v>
      </c>
      <c r="F48" s="109" t="s">
        <v>124</v>
      </c>
      <c r="G48" s="109"/>
      <c r="H48" s="111" t="s">
        <v>147</v>
      </c>
      <c r="I48" s="114"/>
      <c r="J48" s="113" t="s">
        <v>127</v>
      </c>
      <c r="K48" s="113"/>
      <c r="L48" s="113" t="s">
        <v>127</v>
      </c>
    </row>
    <row r="49" spans="1:12" ht="21.95" customHeight="1">
      <c r="A49" s="81" t="s">
        <v>168</v>
      </c>
      <c r="B49" s="109">
        <v>5</v>
      </c>
      <c r="C49" s="109" t="s">
        <v>222</v>
      </c>
      <c r="D49" s="110" t="s">
        <v>223</v>
      </c>
      <c r="E49" s="109" t="s">
        <v>191</v>
      </c>
      <c r="F49" s="109" t="s">
        <v>124</v>
      </c>
      <c r="G49" s="109"/>
      <c r="H49" s="111"/>
      <c r="I49" s="114"/>
      <c r="J49" s="113" t="s">
        <v>127</v>
      </c>
      <c r="K49" s="113"/>
      <c r="L49" s="113" t="s">
        <v>127</v>
      </c>
    </row>
    <row r="50" spans="1:12" ht="21.95" customHeight="1">
      <c r="B50" s="109">
        <v>5</v>
      </c>
      <c r="C50" s="109" t="s">
        <v>224</v>
      </c>
      <c r="D50" s="110" t="s">
        <v>225</v>
      </c>
      <c r="E50" s="109" t="s">
        <v>191</v>
      </c>
      <c r="F50" s="109" t="s">
        <v>124</v>
      </c>
      <c r="G50" s="109" t="s">
        <v>226</v>
      </c>
      <c r="H50" s="111" t="s">
        <v>147</v>
      </c>
      <c r="I50" s="114"/>
      <c r="J50" s="113" t="s">
        <v>127</v>
      </c>
      <c r="K50" s="113"/>
      <c r="L50" s="113" t="s">
        <v>127</v>
      </c>
    </row>
    <row r="51" spans="1:12" ht="21.95" customHeight="1">
      <c r="B51" s="109">
        <v>5</v>
      </c>
      <c r="C51" s="109" t="s">
        <v>227</v>
      </c>
      <c r="D51" s="110" t="s">
        <v>228</v>
      </c>
      <c r="E51" s="109" t="s">
        <v>191</v>
      </c>
      <c r="F51" s="109" t="s">
        <v>124</v>
      </c>
      <c r="G51" s="109"/>
      <c r="H51" s="111" t="s">
        <v>147</v>
      </c>
      <c r="I51" s="114"/>
      <c r="J51" s="113" t="s">
        <v>127</v>
      </c>
      <c r="K51" s="113"/>
      <c r="L51" s="113" t="s">
        <v>127</v>
      </c>
    </row>
    <row r="52" spans="1:12" ht="21.95" customHeight="1">
      <c r="B52" s="109">
        <v>5</v>
      </c>
      <c r="C52" s="109">
        <v>2010</v>
      </c>
      <c r="D52" s="110" t="s">
        <v>229</v>
      </c>
      <c r="E52" s="109" t="s">
        <v>191</v>
      </c>
      <c r="F52" s="109" t="s">
        <v>124</v>
      </c>
      <c r="G52" s="109"/>
      <c r="H52" s="111" t="s">
        <v>147</v>
      </c>
      <c r="I52" s="114"/>
      <c r="J52" s="113" t="s">
        <v>127</v>
      </c>
      <c r="K52" s="113"/>
      <c r="L52" s="113" t="s">
        <v>127</v>
      </c>
    </row>
    <row r="53" spans="1:12" ht="21.95" customHeight="1">
      <c r="B53" s="109">
        <v>5</v>
      </c>
      <c r="C53" s="109" t="s">
        <v>230</v>
      </c>
      <c r="D53" s="110" t="s">
        <v>231</v>
      </c>
      <c r="E53" s="109" t="s">
        <v>232</v>
      </c>
      <c r="F53" s="109" t="s">
        <v>124</v>
      </c>
      <c r="G53" s="109"/>
      <c r="H53" s="111" t="s">
        <v>126</v>
      </c>
      <c r="I53" s="114"/>
      <c r="J53" s="113"/>
      <c r="K53" s="113"/>
      <c r="L53" s="113" t="s">
        <v>127</v>
      </c>
    </row>
    <row r="54" spans="1:12" ht="21.95" customHeight="1">
      <c r="B54" s="109">
        <v>5</v>
      </c>
      <c r="C54" s="109" t="s">
        <v>233</v>
      </c>
      <c r="D54" s="110" t="s">
        <v>234</v>
      </c>
      <c r="E54" s="109" t="s">
        <v>191</v>
      </c>
      <c r="F54" s="109" t="s">
        <v>124</v>
      </c>
      <c r="G54" s="109"/>
      <c r="H54" s="111" t="s">
        <v>126</v>
      </c>
      <c r="I54" s="114"/>
      <c r="J54" s="113"/>
      <c r="K54" s="113" t="s">
        <v>127</v>
      </c>
      <c r="L54" s="113"/>
    </row>
    <row r="55" spans="1:12" ht="21.95" customHeight="1">
      <c r="B55" s="109">
        <v>5</v>
      </c>
      <c r="C55" s="109" t="s">
        <v>235</v>
      </c>
      <c r="D55" s="110" t="s">
        <v>236</v>
      </c>
      <c r="E55" s="109" t="s">
        <v>191</v>
      </c>
      <c r="F55" s="109" t="s">
        <v>124</v>
      </c>
      <c r="G55" s="109"/>
      <c r="H55" s="111" t="s">
        <v>147</v>
      </c>
      <c r="I55" s="114"/>
      <c r="J55" s="113" t="s">
        <v>127</v>
      </c>
      <c r="K55" s="113"/>
      <c r="L55" s="113" t="s">
        <v>127</v>
      </c>
    </row>
    <row r="56" spans="1:12" ht="21.95" customHeight="1">
      <c r="B56" s="109">
        <v>5</v>
      </c>
      <c r="C56" s="109" t="s">
        <v>237</v>
      </c>
      <c r="D56" s="110" t="s">
        <v>238</v>
      </c>
      <c r="E56" s="109" t="s">
        <v>191</v>
      </c>
      <c r="F56" s="109" t="s">
        <v>124</v>
      </c>
      <c r="G56" s="109"/>
      <c r="H56" s="111" t="s">
        <v>147</v>
      </c>
      <c r="I56" s="114"/>
      <c r="J56" s="113" t="s">
        <v>127</v>
      </c>
      <c r="K56" s="113"/>
      <c r="L56" s="113" t="s">
        <v>127</v>
      </c>
    </row>
    <row r="57" spans="1:12" ht="21.95" customHeight="1">
      <c r="A57" s="81" t="s">
        <v>168</v>
      </c>
      <c r="B57" s="109">
        <v>5</v>
      </c>
      <c r="C57" s="109" t="s">
        <v>239</v>
      </c>
      <c r="D57" s="110" t="s">
        <v>240</v>
      </c>
      <c r="E57" s="109" t="s">
        <v>132</v>
      </c>
      <c r="F57" s="109" t="s">
        <v>124</v>
      </c>
      <c r="G57" s="109"/>
      <c r="H57" s="111" t="s">
        <v>126</v>
      </c>
      <c r="I57" s="114"/>
      <c r="J57" s="113"/>
      <c r="K57" s="113"/>
      <c r="L57" s="113" t="s">
        <v>127</v>
      </c>
    </row>
    <row r="58" spans="1:12" ht="21.95" customHeight="1">
      <c r="A58" s="81" t="s">
        <v>168</v>
      </c>
      <c r="B58" s="109">
        <v>5</v>
      </c>
      <c r="C58" s="109" t="s">
        <v>241</v>
      </c>
      <c r="D58" s="110" t="s">
        <v>242</v>
      </c>
      <c r="E58" s="109" t="s">
        <v>132</v>
      </c>
      <c r="F58" s="109" t="s">
        <v>124</v>
      </c>
      <c r="G58" s="109"/>
      <c r="H58" s="111" t="s">
        <v>126</v>
      </c>
      <c r="I58" s="114"/>
      <c r="J58" s="113"/>
      <c r="K58" s="113"/>
      <c r="L58" s="113" t="s">
        <v>127</v>
      </c>
    </row>
    <row r="59" spans="1:12" ht="21.95" customHeight="1">
      <c r="A59" s="81" t="s">
        <v>168</v>
      </c>
      <c r="B59" s="109">
        <v>5</v>
      </c>
      <c r="C59" s="109" t="s">
        <v>243</v>
      </c>
      <c r="D59" s="110" t="s">
        <v>244</v>
      </c>
      <c r="E59" s="109" t="s">
        <v>132</v>
      </c>
      <c r="F59" s="109" t="s">
        <v>124</v>
      </c>
      <c r="G59" s="109"/>
      <c r="H59" s="111" t="s">
        <v>126</v>
      </c>
      <c r="I59" s="114"/>
      <c r="J59" s="113"/>
      <c r="K59" s="113"/>
      <c r="L59" s="113" t="s">
        <v>127</v>
      </c>
    </row>
    <row r="60" spans="1:12" ht="21.95" customHeight="1">
      <c r="A60" s="81" t="s">
        <v>168</v>
      </c>
      <c r="B60" s="109">
        <v>5</v>
      </c>
      <c r="C60" s="109" t="s">
        <v>245</v>
      </c>
      <c r="D60" s="110" t="s">
        <v>246</v>
      </c>
      <c r="E60" s="109" t="s">
        <v>132</v>
      </c>
      <c r="F60" s="109" t="s">
        <v>124</v>
      </c>
      <c r="G60" s="109"/>
      <c r="H60" s="111" t="s">
        <v>126</v>
      </c>
      <c r="I60" s="114"/>
      <c r="J60" s="113"/>
      <c r="K60" s="113"/>
      <c r="L60" s="113" t="s">
        <v>127</v>
      </c>
    </row>
    <row r="61" spans="1:12" ht="21.95" customHeight="1">
      <c r="B61" s="109">
        <v>5</v>
      </c>
      <c r="C61" s="109" t="s">
        <v>247</v>
      </c>
      <c r="D61" s="110" t="s">
        <v>248</v>
      </c>
      <c r="E61" s="109" t="s">
        <v>191</v>
      </c>
      <c r="F61" s="109" t="s">
        <v>124</v>
      </c>
      <c r="G61" s="109"/>
      <c r="H61" s="111"/>
      <c r="I61" s="114"/>
      <c r="J61" s="113" t="s">
        <v>127</v>
      </c>
      <c r="K61" s="113"/>
      <c r="L61" s="113" t="s">
        <v>127</v>
      </c>
    </row>
    <row r="62" spans="1:12" ht="21.95" customHeight="1">
      <c r="B62" s="109">
        <v>5</v>
      </c>
      <c r="C62" s="109" t="s">
        <v>249</v>
      </c>
      <c r="D62" s="110" t="s">
        <v>250</v>
      </c>
      <c r="E62" s="109" t="s">
        <v>191</v>
      </c>
      <c r="F62" s="109" t="s">
        <v>124</v>
      </c>
      <c r="G62" s="109"/>
      <c r="H62" s="111"/>
      <c r="I62" s="114"/>
      <c r="J62" s="113" t="s">
        <v>127</v>
      </c>
      <c r="K62" s="113"/>
      <c r="L62" s="113" t="s">
        <v>127</v>
      </c>
    </row>
    <row r="63" spans="1:12" ht="21.95" customHeight="1">
      <c r="B63" s="109">
        <v>5</v>
      </c>
      <c r="C63" s="109" t="s">
        <v>251</v>
      </c>
      <c r="D63" s="110" t="s">
        <v>252</v>
      </c>
      <c r="E63" s="109" t="s">
        <v>191</v>
      </c>
      <c r="F63" s="109" t="s">
        <v>124</v>
      </c>
      <c r="G63" s="109"/>
      <c r="H63" s="111" t="s">
        <v>147</v>
      </c>
      <c r="I63" s="114"/>
      <c r="J63" s="113" t="s">
        <v>127</v>
      </c>
      <c r="K63" s="113"/>
      <c r="L63" s="113" t="s">
        <v>127</v>
      </c>
    </row>
    <row r="64" spans="1:12" ht="21.95" customHeight="1">
      <c r="B64" s="109">
        <v>5</v>
      </c>
      <c r="C64" s="109" t="s">
        <v>253</v>
      </c>
      <c r="D64" s="110" t="s">
        <v>254</v>
      </c>
      <c r="E64" s="109" t="s">
        <v>255</v>
      </c>
      <c r="F64" s="109" t="s">
        <v>124</v>
      </c>
      <c r="G64" s="109"/>
      <c r="H64" s="111" t="s">
        <v>126</v>
      </c>
      <c r="I64" s="114"/>
      <c r="J64" s="113"/>
      <c r="K64" s="113"/>
      <c r="L64" s="113" t="s">
        <v>127</v>
      </c>
    </row>
    <row r="65" spans="1:12" ht="21.95" customHeight="1">
      <c r="B65" s="109">
        <v>5</v>
      </c>
      <c r="C65" s="109" t="s">
        <v>256</v>
      </c>
      <c r="D65" s="110" t="s">
        <v>257</v>
      </c>
      <c r="E65" s="109" t="s">
        <v>191</v>
      </c>
      <c r="F65" s="109" t="s">
        <v>124</v>
      </c>
      <c r="G65" s="109"/>
      <c r="H65" s="111" t="s">
        <v>147</v>
      </c>
      <c r="I65" s="114"/>
      <c r="J65" s="113" t="s">
        <v>127</v>
      </c>
      <c r="K65" s="113"/>
      <c r="L65" s="113" t="s">
        <v>127</v>
      </c>
    </row>
    <row r="66" spans="1:12" ht="21.95" customHeight="1">
      <c r="A66" s="81" t="s">
        <v>168</v>
      </c>
      <c r="B66" s="109">
        <v>5</v>
      </c>
      <c r="C66" s="109" t="s">
        <v>258</v>
      </c>
      <c r="D66" s="110" t="s">
        <v>259</v>
      </c>
      <c r="E66" s="109" t="s">
        <v>191</v>
      </c>
      <c r="F66" s="109" t="s">
        <v>124</v>
      </c>
      <c r="G66" s="109"/>
      <c r="H66" s="111"/>
      <c r="I66" s="114"/>
      <c r="J66" s="113" t="s">
        <v>127</v>
      </c>
      <c r="K66" s="113"/>
      <c r="L66" s="113" t="s">
        <v>127</v>
      </c>
    </row>
    <row r="67" spans="1:12" ht="21.95" customHeight="1">
      <c r="B67" s="109">
        <v>5</v>
      </c>
      <c r="C67" s="109" t="s">
        <v>260</v>
      </c>
      <c r="D67" s="110" t="s">
        <v>261</v>
      </c>
      <c r="E67" s="109" t="s">
        <v>191</v>
      </c>
      <c r="F67" s="109" t="s">
        <v>124</v>
      </c>
      <c r="G67" s="109" t="s">
        <v>125</v>
      </c>
      <c r="H67" s="111" t="s">
        <v>147</v>
      </c>
      <c r="I67" s="114"/>
      <c r="J67" s="113" t="s">
        <v>127</v>
      </c>
      <c r="K67" s="113"/>
      <c r="L67" s="113" t="s">
        <v>127</v>
      </c>
    </row>
    <row r="68" spans="1:12" ht="21.95" customHeight="1">
      <c r="B68" s="109">
        <v>5</v>
      </c>
      <c r="C68" s="109" t="s">
        <v>262</v>
      </c>
      <c r="D68" s="110" t="s">
        <v>263</v>
      </c>
      <c r="E68" s="109" t="s">
        <v>264</v>
      </c>
      <c r="F68" s="109" t="s">
        <v>124</v>
      </c>
      <c r="G68" s="109" t="s">
        <v>125</v>
      </c>
      <c r="H68" s="111" t="s">
        <v>126</v>
      </c>
      <c r="I68" s="114"/>
      <c r="J68" s="113"/>
      <c r="K68" s="113" t="s">
        <v>127</v>
      </c>
      <c r="L68" s="113"/>
    </row>
    <row r="69" spans="1:12" ht="21.95" customHeight="1">
      <c r="B69" s="109">
        <v>5</v>
      </c>
      <c r="C69" s="109" t="s">
        <v>265</v>
      </c>
      <c r="D69" s="110" t="s">
        <v>266</v>
      </c>
      <c r="E69" s="109" t="s">
        <v>191</v>
      </c>
      <c r="F69" s="109" t="s">
        <v>124</v>
      </c>
      <c r="G69" s="109"/>
      <c r="H69" s="111" t="s">
        <v>147</v>
      </c>
      <c r="I69" s="114"/>
      <c r="J69" s="113" t="s">
        <v>127</v>
      </c>
      <c r="K69" s="113"/>
      <c r="L69" s="113" t="s">
        <v>127</v>
      </c>
    </row>
    <row r="70" spans="1:12" ht="21.95" customHeight="1">
      <c r="B70" s="109">
        <v>5</v>
      </c>
      <c r="C70" s="109" t="s">
        <v>267</v>
      </c>
      <c r="D70" s="110" t="s">
        <v>268</v>
      </c>
      <c r="E70" s="109" t="s">
        <v>255</v>
      </c>
      <c r="F70" s="109" t="s">
        <v>124</v>
      </c>
      <c r="G70" s="109"/>
      <c r="H70" s="111" t="s">
        <v>126</v>
      </c>
      <c r="I70" s="114"/>
      <c r="J70" s="113"/>
      <c r="K70" s="113"/>
      <c r="L70" s="113" t="s">
        <v>127</v>
      </c>
    </row>
    <row r="71" spans="1:12" ht="21.95" customHeight="1">
      <c r="B71" s="109">
        <v>5</v>
      </c>
      <c r="C71" s="109" t="s">
        <v>269</v>
      </c>
      <c r="D71" s="110" t="s">
        <v>270</v>
      </c>
      <c r="E71" s="109" t="s">
        <v>191</v>
      </c>
      <c r="F71" s="109" t="s">
        <v>124</v>
      </c>
      <c r="G71" s="109"/>
      <c r="H71" s="111" t="s">
        <v>147</v>
      </c>
      <c r="I71" s="114"/>
      <c r="J71" s="113" t="s">
        <v>127</v>
      </c>
      <c r="K71" s="113"/>
      <c r="L71" s="113" t="s">
        <v>127</v>
      </c>
    </row>
    <row r="72" spans="1:12" ht="21.95" customHeight="1">
      <c r="B72" s="109">
        <v>5</v>
      </c>
      <c r="C72" s="109" t="s">
        <v>271</v>
      </c>
      <c r="D72" s="110" t="s">
        <v>272</v>
      </c>
      <c r="E72" s="109" t="s">
        <v>191</v>
      </c>
      <c r="F72" s="109" t="s">
        <v>124</v>
      </c>
      <c r="G72" s="109"/>
      <c r="H72" s="111" t="s">
        <v>147</v>
      </c>
      <c r="I72" s="114"/>
      <c r="J72" s="113" t="s">
        <v>127</v>
      </c>
      <c r="K72" s="113"/>
      <c r="L72" s="113" t="s">
        <v>127</v>
      </c>
    </row>
    <row r="73" spans="1:12" ht="21.95" customHeight="1">
      <c r="B73" s="109">
        <v>5</v>
      </c>
      <c r="C73" s="109" t="s">
        <v>273</v>
      </c>
      <c r="D73" s="110" t="s">
        <v>274</v>
      </c>
      <c r="E73" s="109" t="s">
        <v>191</v>
      </c>
      <c r="F73" s="109" t="s">
        <v>124</v>
      </c>
      <c r="G73" s="109"/>
      <c r="H73" s="111" t="s">
        <v>147</v>
      </c>
      <c r="I73" s="114"/>
      <c r="J73" s="113" t="s">
        <v>127</v>
      </c>
      <c r="K73" s="113"/>
      <c r="L73" s="113" t="s">
        <v>127</v>
      </c>
    </row>
    <row r="74" spans="1:12" ht="21.95" customHeight="1">
      <c r="B74" s="109">
        <v>5</v>
      </c>
      <c r="C74" s="109" t="s">
        <v>275</v>
      </c>
      <c r="D74" s="110" t="s">
        <v>276</v>
      </c>
      <c r="E74" s="109" t="s">
        <v>277</v>
      </c>
      <c r="F74" s="109" t="s">
        <v>124</v>
      </c>
      <c r="G74" s="109"/>
      <c r="H74" s="111" t="s">
        <v>126</v>
      </c>
      <c r="I74" s="114"/>
      <c r="J74" s="113"/>
      <c r="K74" s="113"/>
      <c r="L74" s="113" t="s">
        <v>127</v>
      </c>
    </row>
    <row r="75" spans="1:12" ht="21.95" customHeight="1">
      <c r="B75" s="109">
        <v>5</v>
      </c>
      <c r="C75" s="109" t="s">
        <v>278</v>
      </c>
      <c r="D75" s="110" t="s">
        <v>279</v>
      </c>
      <c r="E75" s="109" t="s">
        <v>191</v>
      </c>
      <c r="F75" s="109" t="s">
        <v>124</v>
      </c>
      <c r="G75" s="109"/>
      <c r="H75" s="111" t="s">
        <v>147</v>
      </c>
      <c r="I75" s="114"/>
      <c r="J75" s="113" t="s">
        <v>127</v>
      </c>
      <c r="K75" s="113"/>
      <c r="L75" s="113" t="s">
        <v>127</v>
      </c>
    </row>
    <row r="76" spans="1:12" ht="21.95" customHeight="1">
      <c r="B76" s="109">
        <v>5</v>
      </c>
      <c r="C76" s="109" t="s">
        <v>280</v>
      </c>
      <c r="D76" s="110" t="s">
        <v>281</v>
      </c>
      <c r="E76" s="109" t="s">
        <v>191</v>
      </c>
      <c r="F76" s="109" t="s">
        <v>124</v>
      </c>
      <c r="G76" s="109"/>
      <c r="H76" s="111" t="s">
        <v>147</v>
      </c>
      <c r="I76" s="114"/>
      <c r="J76" s="113" t="s">
        <v>127</v>
      </c>
      <c r="K76" s="113"/>
      <c r="L76" s="113" t="s">
        <v>127</v>
      </c>
    </row>
    <row r="77" spans="1:12" ht="21.95" customHeight="1">
      <c r="B77" s="109">
        <v>5</v>
      </c>
      <c r="C77" s="109" t="s">
        <v>282</v>
      </c>
      <c r="D77" s="110" t="s">
        <v>283</v>
      </c>
      <c r="E77" s="109" t="s">
        <v>191</v>
      </c>
      <c r="F77" s="109" t="s">
        <v>124</v>
      </c>
      <c r="G77" s="109"/>
      <c r="H77" s="111" t="s">
        <v>147</v>
      </c>
      <c r="I77" s="114"/>
      <c r="J77" s="113" t="s">
        <v>127</v>
      </c>
      <c r="K77" s="113"/>
      <c r="L77" s="113" t="s">
        <v>127</v>
      </c>
    </row>
    <row r="78" spans="1:12" ht="21.95" customHeight="1">
      <c r="B78" s="109">
        <v>5</v>
      </c>
      <c r="C78" s="109" t="s">
        <v>284</v>
      </c>
      <c r="D78" s="110" t="s">
        <v>285</v>
      </c>
      <c r="E78" s="109" t="s">
        <v>191</v>
      </c>
      <c r="F78" s="109" t="s">
        <v>124</v>
      </c>
      <c r="G78" s="109"/>
      <c r="H78" s="111" t="s">
        <v>147</v>
      </c>
      <c r="I78" s="114"/>
      <c r="J78" s="113" t="s">
        <v>127</v>
      </c>
      <c r="K78" s="113"/>
      <c r="L78" s="113" t="s">
        <v>127</v>
      </c>
    </row>
    <row r="79" spans="1:12" ht="21.95" customHeight="1">
      <c r="B79" s="109">
        <v>5</v>
      </c>
      <c r="C79" s="109" t="s">
        <v>286</v>
      </c>
      <c r="D79" s="110" t="s">
        <v>287</v>
      </c>
      <c r="E79" s="109" t="s">
        <v>191</v>
      </c>
      <c r="F79" s="109" t="s">
        <v>124</v>
      </c>
      <c r="G79" s="109"/>
      <c r="H79" s="111" t="s">
        <v>147</v>
      </c>
      <c r="I79" s="114"/>
      <c r="J79" s="113" t="s">
        <v>127</v>
      </c>
      <c r="K79" s="113"/>
      <c r="L79" s="113" t="s">
        <v>127</v>
      </c>
    </row>
    <row r="80" spans="1:12" ht="21.95" customHeight="1">
      <c r="B80" s="109">
        <v>5</v>
      </c>
      <c r="C80" s="109" t="s">
        <v>288</v>
      </c>
      <c r="D80" s="110" t="s">
        <v>289</v>
      </c>
      <c r="E80" s="109" t="s">
        <v>191</v>
      </c>
      <c r="F80" s="109" t="s">
        <v>124</v>
      </c>
      <c r="G80" s="109"/>
      <c r="H80" s="111" t="s">
        <v>147</v>
      </c>
      <c r="I80" s="114"/>
      <c r="J80" s="113" t="s">
        <v>127</v>
      </c>
      <c r="K80" s="113"/>
      <c r="L80" s="113" t="s">
        <v>127</v>
      </c>
    </row>
    <row r="81" spans="1:12" ht="21.95" customHeight="1">
      <c r="B81" s="109">
        <v>5</v>
      </c>
      <c r="C81" s="109" t="s">
        <v>290</v>
      </c>
      <c r="D81" s="110" t="s">
        <v>291</v>
      </c>
      <c r="E81" s="109" t="s">
        <v>191</v>
      </c>
      <c r="F81" s="109" t="s">
        <v>124</v>
      </c>
      <c r="G81" s="109"/>
      <c r="H81" s="111" t="s">
        <v>147</v>
      </c>
      <c r="I81" s="114"/>
      <c r="J81" s="113" t="s">
        <v>127</v>
      </c>
      <c r="K81" s="113"/>
      <c r="L81" s="113" t="s">
        <v>127</v>
      </c>
    </row>
    <row r="82" spans="1:12" ht="21.95" customHeight="1">
      <c r="B82" s="109">
        <v>5</v>
      </c>
      <c r="C82" s="109">
        <v>2300</v>
      </c>
      <c r="D82" s="110" t="s">
        <v>292</v>
      </c>
      <c r="E82" s="109" t="s">
        <v>191</v>
      </c>
      <c r="F82" s="109" t="s">
        <v>124</v>
      </c>
      <c r="G82" s="109" t="s">
        <v>205</v>
      </c>
      <c r="H82" s="111" t="s">
        <v>147</v>
      </c>
      <c r="I82" s="114"/>
      <c r="J82" s="113" t="s">
        <v>127</v>
      </c>
      <c r="K82" s="113"/>
      <c r="L82" s="113" t="s">
        <v>127</v>
      </c>
    </row>
    <row r="83" spans="1:12" ht="21.95" customHeight="1">
      <c r="B83" s="109">
        <v>5</v>
      </c>
      <c r="C83" s="109" t="s">
        <v>293</v>
      </c>
      <c r="D83" s="110" t="s">
        <v>294</v>
      </c>
      <c r="E83" s="109" t="s">
        <v>191</v>
      </c>
      <c r="F83" s="109" t="s">
        <v>124</v>
      </c>
      <c r="G83" s="109"/>
      <c r="H83" s="111" t="s">
        <v>147</v>
      </c>
      <c r="I83" s="114"/>
      <c r="J83" s="113" t="s">
        <v>127</v>
      </c>
      <c r="K83" s="113"/>
      <c r="L83" s="113" t="s">
        <v>127</v>
      </c>
    </row>
    <row r="84" spans="1:12" ht="21.95" customHeight="1">
      <c r="B84" s="109">
        <v>5</v>
      </c>
      <c r="C84" s="109" t="s">
        <v>295</v>
      </c>
      <c r="D84" s="110" t="s">
        <v>296</v>
      </c>
      <c r="E84" s="109" t="s">
        <v>297</v>
      </c>
      <c r="F84" s="109" t="s">
        <v>124</v>
      </c>
      <c r="G84" s="109"/>
      <c r="H84" s="111" t="s">
        <v>126</v>
      </c>
      <c r="I84" s="114"/>
      <c r="J84" s="113"/>
      <c r="K84" s="113"/>
      <c r="L84" s="113" t="s">
        <v>127</v>
      </c>
    </row>
    <row r="85" spans="1:12" ht="21.95" customHeight="1">
      <c r="B85" s="109">
        <v>5</v>
      </c>
      <c r="C85" s="109" t="s">
        <v>298</v>
      </c>
      <c r="D85" s="110" t="s">
        <v>299</v>
      </c>
      <c r="E85" s="109" t="s">
        <v>191</v>
      </c>
      <c r="F85" s="109" t="s">
        <v>124</v>
      </c>
      <c r="G85" s="109"/>
      <c r="H85" s="111" t="s">
        <v>147</v>
      </c>
      <c r="I85" s="114"/>
      <c r="J85" s="113" t="s">
        <v>127</v>
      </c>
      <c r="K85" s="113"/>
      <c r="L85" s="113" t="s">
        <v>127</v>
      </c>
    </row>
    <row r="86" spans="1:12" ht="21.95" customHeight="1">
      <c r="B86" s="109">
        <v>5</v>
      </c>
      <c r="C86" s="109" t="s">
        <v>300</v>
      </c>
      <c r="D86" s="110" t="s">
        <v>301</v>
      </c>
      <c r="E86" s="109" t="s">
        <v>302</v>
      </c>
      <c r="F86" s="109" t="s">
        <v>124</v>
      </c>
      <c r="G86" s="109"/>
      <c r="H86" s="111" t="s">
        <v>126</v>
      </c>
      <c r="I86" s="114"/>
      <c r="J86" s="113"/>
      <c r="K86" s="113"/>
      <c r="L86" s="113" t="s">
        <v>127</v>
      </c>
    </row>
    <row r="87" spans="1:12" ht="21.95" customHeight="1">
      <c r="B87" s="109">
        <v>5</v>
      </c>
      <c r="C87" s="109" t="s">
        <v>303</v>
      </c>
      <c r="D87" s="110" t="s">
        <v>304</v>
      </c>
      <c r="E87" s="109" t="s">
        <v>191</v>
      </c>
      <c r="F87" s="109" t="s">
        <v>124</v>
      </c>
      <c r="G87" s="109"/>
      <c r="H87" s="111" t="s">
        <v>147</v>
      </c>
      <c r="I87" s="114"/>
      <c r="J87" s="113" t="s">
        <v>127</v>
      </c>
      <c r="K87" s="113"/>
      <c r="L87" s="113" t="s">
        <v>127</v>
      </c>
    </row>
    <row r="88" spans="1:12" ht="21.95" customHeight="1">
      <c r="B88" s="109">
        <v>5</v>
      </c>
      <c r="C88" s="109" t="s">
        <v>305</v>
      </c>
      <c r="D88" s="110" t="s">
        <v>306</v>
      </c>
      <c r="E88" s="109" t="s">
        <v>191</v>
      </c>
      <c r="F88" s="109" t="s">
        <v>124</v>
      </c>
      <c r="G88" s="109"/>
      <c r="H88" s="111" t="s">
        <v>147</v>
      </c>
      <c r="I88" s="114"/>
      <c r="J88" s="113" t="s">
        <v>127</v>
      </c>
      <c r="K88" s="113"/>
      <c r="L88" s="113" t="s">
        <v>127</v>
      </c>
    </row>
    <row r="89" spans="1:12" ht="21.95" customHeight="1">
      <c r="B89" s="109">
        <v>5</v>
      </c>
      <c r="C89" s="109" t="s">
        <v>307</v>
      </c>
      <c r="D89" s="110" t="s">
        <v>308</v>
      </c>
      <c r="E89" s="109" t="s">
        <v>309</v>
      </c>
      <c r="F89" s="109" t="s">
        <v>124</v>
      </c>
      <c r="G89" s="109"/>
      <c r="H89" s="111" t="s">
        <v>126</v>
      </c>
      <c r="I89" s="114"/>
      <c r="J89" s="113"/>
      <c r="K89" s="113"/>
      <c r="L89" s="113" t="s">
        <v>127</v>
      </c>
    </row>
    <row r="90" spans="1:12" ht="21.95" customHeight="1">
      <c r="B90" s="109">
        <v>5</v>
      </c>
      <c r="C90" s="109" t="s">
        <v>310</v>
      </c>
      <c r="D90" s="110" t="s">
        <v>311</v>
      </c>
      <c r="E90" s="109" t="s">
        <v>191</v>
      </c>
      <c r="F90" s="109" t="s">
        <v>124</v>
      </c>
      <c r="G90" s="109"/>
      <c r="H90" s="111" t="s">
        <v>147</v>
      </c>
      <c r="I90" s="114"/>
      <c r="J90" s="113" t="s">
        <v>127</v>
      </c>
      <c r="K90" s="113"/>
      <c r="L90" s="113" t="s">
        <v>127</v>
      </c>
    </row>
    <row r="91" spans="1:12" ht="21.95" customHeight="1">
      <c r="B91" s="109">
        <v>5</v>
      </c>
      <c r="C91" s="109" t="s">
        <v>312</v>
      </c>
      <c r="D91" s="110" t="s">
        <v>313</v>
      </c>
      <c r="E91" s="109" t="s">
        <v>191</v>
      </c>
      <c r="F91" s="109" t="s">
        <v>124</v>
      </c>
      <c r="G91" s="109"/>
      <c r="H91" s="111" t="s">
        <v>147</v>
      </c>
      <c r="I91" s="114"/>
      <c r="J91" s="113" t="s">
        <v>127</v>
      </c>
      <c r="K91" s="113"/>
      <c r="L91" s="113" t="s">
        <v>127</v>
      </c>
    </row>
    <row r="92" spans="1:12" ht="21.95" customHeight="1">
      <c r="B92" s="109">
        <v>5</v>
      </c>
      <c r="C92" s="109" t="s">
        <v>314</v>
      </c>
      <c r="D92" s="110" t="s">
        <v>315</v>
      </c>
      <c r="E92" s="109" t="s">
        <v>191</v>
      </c>
      <c r="F92" s="109" t="s">
        <v>124</v>
      </c>
      <c r="G92" s="109" t="s">
        <v>205</v>
      </c>
      <c r="H92" s="111" t="s">
        <v>147</v>
      </c>
      <c r="I92" s="114"/>
      <c r="J92" s="113" t="s">
        <v>127</v>
      </c>
      <c r="K92" s="113"/>
      <c r="L92" s="113" t="s">
        <v>127</v>
      </c>
    </row>
    <row r="93" spans="1:12" ht="21.95" customHeight="1">
      <c r="B93" s="109">
        <v>5</v>
      </c>
      <c r="C93" s="109" t="s">
        <v>316</v>
      </c>
      <c r="D93" s="110" t="s">
        <v>317</v>
      </c>
      <c r="E93" s="109" t="s">
        <v>255</v>
      </c>
      <c r="F93" s="109" t="s">
        <v>124</v>
      </c>
      <c r="G93" s="109"/>
      <c r="H93" s="111" t="s">
        <v>126</v>
      </c>
      <c r="I93" s="114"/>
      <c r="J93" s="113"/>
      <c r="K93" s="113" t="s">
        <v>127</v>
      </c>
      <c r="L93" s="113"/>
    </row>
    <row r="94" spans="1:12" ht="21.95" customHeight="1">
      <c r="B94" s="109">
        <v>5</v>
      </c>
      <c r="C94" s="109" t="s">
        <v>318</v>
      </c>
      <c r="D94" s="110" t="s">
        <v>319</v>
      </c>
      <c r="E94" s="109" t="s">
        <v>255</v>
      </c>
      <c r="F94" s="109" t="s">
        <v>124</v>
      </c>
      <c r="G94" s="109" t="s">
        <v>205</v>
      </c>
      <c r="H94" s="111" t="s">
        <v>126</v>
      </c>
      <c r="I94" s="114"/>
      <c r="J94" s="113"/>
      <c r="K94" s="113" t="s">
        <v>127</v>
      </c>
      <c r="L94" s="113"/>
    </row>
    <row r="95" spans="1:12" ht="21.95" customHeight="1">
      <c r="A95" s="81" t="s">
        <v>168</v>
      </c>
      <c r="B95" s="109">
        <v>5</v>
      </c>
      <c r="C95" s="109" t="s">
        <v>320</v>
      </c>
      <c r="D95" s="110" t="s">
        <v>321</v>
      </c>
      <c r="E95" s="109" t="s">
        <v>191</v>
      </c>
      <c r="F95" s="109" t="s">
        <v>124</v>
      </c>
      <c r="G95" s="109" t="s">
        <v>205</v>
      </c>
      <c r="H95" s="111" t="s">
        <v>147</v>
      </c>
      <c r="I95" s="114"/>
      <c r="J95" s="113"/>
      <c r="K95" s="113"/>
      <c r="L95" s="113" t="s">
        <v>127</v>
      </c>
    </row>
    <row r="96" spans="1:12" ht="21.95" customHeight="1">
      <c r="B96" s="115">
        <v>5.5</v>
      </c>
      <c r="C96" s="115"/>
      <c r="D96" s="103" t="s">
        <v>322</v>
      </c>
      <c r="E96" s="115"/>
      <c r="F96" s="115"/>
      <c r="G96" s="115"/>
      <c r="H96" s="115"/>
      <c r="I96" s="120"/>
      <c r="J96" s="115"/>
      <c r="K96" s="121"/>
      <c r="L96" s="119"/>
    </row>
    <row r="97" spans="2:12" ht="21.95" customHeight="1">
      <c r="B97" s="109">
        <v>6</v>
      </c>
      <c r="C97" s="109" t="s">
        <v>323</v>
      </c>
      <c r="D97" s="110" t="s">
        <v>324</v>
      </c>
      <c r="E97" s="109" t="s">
        <v>264</v>
      </c>
      <c r="F97" s="109" t="s">
        <v>124</v>
      </c>
      <c r="G97" s="109" t="s">
        <v>226</v>
      </c>
      <c r="H97" s="111" t="s">
        <v>126</v>
      </c>
      <c r="I97" s="114"/>
      <c r="J97" s="113"/>
      <c r="K97" s="113"/>
      <c r="L97" s="113" t="s">
        <v>127</v>
      </c>
    </row>
    <row r="98" spans="2:12" ht="21.95" customHeight="1">
      <c r="B98" s="109">
        <v>6</v>
      </c>
      <c r="C98" s="109" t="s">
        <v>325</v>
      </c>
      <c r="D98" s="110" t="s">
        <v>326</v>
      </c>
      <c r="E98" s="109" t="s">
        <v>191</v>
      </c>
      <c r="F98" s="109" t="s">
        <v>124</v>
      </c>
      <c r="G98" s="109"/>
      <c r="H98" s="111" t="s">
        <v>147</v>
      </c>
      <c r="I98" s="114"/>
      <c r="J98" s="113" t="s">
        <v>127</v>
      </c>
      <c r="K98" s="113"/>
      <c r="L98" s="113" t="s">
        <v>127</v>
      </c>
    </row>
    <row r="99" spans="2:12" ht="21.95" customHeight="1">
      <c r="B99" s="109">
        <v>6</v>
      </c>
      <c r="C99" s="109" t="s">
        <v>327</v>
      </c>
      <c r="D99" s="110" t="s">
        <v>328</v>
      </c>
      <c r="E99" s="109" t="s">
        <v>191</v>
      </c>
      <c r="F99" s="109" t="s">
        <v>124</v>
      </c>
      <c r="G99" s="109" t="s">
        <v>226</v>
      </c>
      <c r="H99" s="111" t="s">
        <v>147</v>
      </c>
      <c r="I99" s="114"/>
      <c r="J99" s="113" t="s">
        <v>127</v>
      </c>
      <c r="K99" s="113"/>
      <c r="L99" s="113" t="s">
        <v>127</v>
      </c>
    </row>
    <row r="100" spans="2:12" ht="21.95" customHeight="1">
      <c r="B100" s="109">
        <v>6</v>
      </c>
      <c r="C100" s="109" t="s">
        <v>329</v>
      </c>
      <c r="D100" s="110" t="s">
        <v>330</v>
      </c>
      <c r="E100" s="109" t="s">
        <v>191</v>
      </c>
      <c r="F100" s="109" t="s">
        <v>124</v>
      </c>
      <c r="G100" s="109"/>
      <c r="H100" s="111" t="s">
        <v>147</v>
      </c>
      <c r="I100" s="114"/>
      <c r="J100" s="113" t="s">
        <v>127</v>
      </c>
      <c r="K100" s="113"/>
      <c r="L100" s="113" t="s">
        <v>127</v>
      </c>
    </row>
    <row r="101" spans="2:12" ht="21.95" customHeight="1">
      <c r="B101" s="109">
        <v>6</v>
      </c>
      <c r="C101" s="109" t="s">
        <v>331</v>
      </c>
      <c r="D101" s="110" t="s">
        <v>332</v>
      </c>
      <c r="E101" s="109" t="s">
        <v>191</v>
      </c>
      <c r="F101" s="109" t="s">
        <v>124</v>
      </c>
      <c r="G101" s="109"/>
      <c r="H101" s="111" t="s">
        <v>147</v>
      </c>
      <c r="I101" s="114"/>
      <c r="J101" s="113" t="s">
        <v>127</v>
      </c>
      <c r="K101" s="113"/>
      <c r="L101" s="113" t="s">
        <v>127</v>
      </c>
    </row>
    <row r="102" spans="2:12" ht="21.95" customHeight="1">
      <c r="B102" s="109">
        <v>6</v>
      </c>
      <c r="C102" s="109" t="s">
        <v>333</v>
      </c>
      <c r="D102" s="110" t="s">
        <v>334</v>
      </c>
      <c r="E102" s="109" t="s">
        <v>297</v>
      </c>
      <c r="F102" s="109" t="s">
        <v>124</v>
      </c>
      <c r="G102" s="109"/>
      <c r="H102" s="111" t="s">
        <v>126</v>
      </c>
      <c r="I102" s="114"/>
      <c r="J102" s="113"/>
      <c r="K102" s="113"/>
      <c r="L102" s="113" t="s">
        <v>127</v>
      </c>
    </row>
    <row r="103" spans="2:12" ht="21.95" customHeight="1">
      <c r="B103" s="109">
        <v>6</v>
      </c>
      <c r="C103" s="109" t="s">
        <v>335</v>
      </c>
      <c r="D103" s="110" t="s">
        <v>336</v>
      </c>
      <c r="E103" s="109" t="s">
        <v>264</v>
      </c>
      <c r="F103" s="109" t="s">
        <v>124</v>
      </c>
      <c r="G103" s="109"/>
      <c r="H103" s="111" t="s">
        <v>126</v>
      </c>
      <c r="I103" s="114"/>
      <c r="J103" s="113"/>
      <c r="K103" s="113"/>
      <c r="L103" s="113" t="s">
        <v>127</v>
      </c>
    </row>
    <row r="104" spans="2:12" ht="21.95" customHeight="1">
      <c r="B104" s="109">
        <v>6</v>
      </c>
      <c r="C104" s="109" t="s">
        <v>337</v>
      </c>
      <c r="D104" s="110" t="s">
        <v>338</v>
      </c>
      <c r="E104" s="109" t="s">
        <v>214</v>
      </c>
      <c r="F104" s="109" t="s">
        <v>157</v>
      </c>
      <c r="G104" s="109"/>
      <c r="H104" s="111" t="s">
        <v>147</v>
      </c>
      <c r="I104" s="114"/>
      <c r="J104" s="113" t="s">
        <v>127</v>
      </c>
      <c r="K104" s="113"/>
      <c r="L104" s="113" t="s">
        <v>127</v>
      </c>
    </row>
    <row r="105" spans="2:12" ht="21.95" customHeight="1">
      <c r="B105" s="109">
        <v>6</v>
      </c>
      <c r="C105" s="109" t="s">
        <v>339</v>
      </c>
      <c r="D105" s="110" t="s">
        <v>340</v>
      </c>
      <c r="E105" s="109" t="s">
        <v>191</v>
      </c>
      <c r="F105" s="109" t="s">
        <v>124</v>
      </c>
      <c r="G105" s="109"/>
      <c r="H105" s="111" t="s">
        <v>147</v>
      </c>
      <c r="I105" s="114"/>
      <c r="J105" s="113" t="s">
        <v>127</v>
      </c>
      <c r="K105" s="113"/>
      <c r="L105" s="113" t="s">
        <v>127</v>
      </c>
    </row>
    <row r="106" spans="2:12" ht="21.95" customHeight="1">
      <c r="B106" s="109">
        <v>6</v>
      </c>
      <c r="C106" s="109" t="s">
        <v>341</v>
      </c>
      <c r="D106" s="110" t="s">
        <v>342</v>
      </c>
      <c r="E106" s="109" t="s">
        <v>191</v>
      </c>
      <c r="F106" s="109" t="s">
        <v>124</v>
      </c>
      <c r="G106" s="109" t="s">
        <v>226</v>
      </c>
      <c r="H106" s="111" t="s">
        <v>147</v>
      </c>
      <c r="I106" s="114"/>
      <c r="J106" s="113" t="s">
        <v>127</v>
      </c>
      <c r="K106" s="113"/>
      <c r="L106" s="113" t="s">
        <v>127</v>
      </c>
    </row>
    <row r="107" spans="2:12" ht="21.95" customHeight="1">
      <c r="B107" s="109">
        <v>6</v>
      </c>
      <c r="C107" s="109" t="s">
        <v>343</v>
      </c>
      <c r="D107" s="110" t="s">
        <v>344</v>
      </c>
      <c r="E107" s="109" t="s">
        <v>191</v>
      </c>
      <c r="F107" s="109" t="s">
        <v>124</v>
      </c>
      <c r="G107" s="109" t="s">
        <v>226</v>
      </c>
      <c r="H107" s="111" t="s">
        <v>147</v>
      </c>
      <c r="I107" s="114"/>
      <c r="J107" s="113" t="s">
        <v>127</v>
      </c>
      <c r="K107" s="113"/>
      <c r="L107" s="113" t="s">
        <v>127</v>
      </c>
    </row>
    <row r="108" spans="2:12" ht="21.95" customHeight="1">
      <c r="B108" s="109">
        <v>6</v>
      </c>
      <c r="C108" s="109" t="s">
        <v>345</v>
      </c>
      <c r="D108" s="110" t="s">
        <v>346</v>
      </c>
      <c r="E108" s="109" t="s">
        <v>191</v>
      </c>
      <c r="F108" s="109" t="s">
        <v>124</v>
      </c>
      <c r="G108" s="109" t="s">
        <v>226</v>
      </c>
      <c r="H108" s="111" t="s">
        <v>147</v>
      </c>
      <c r="I108" s="114"/>
      <c r="J108" s="113" t="s">
        <v>127</v>
      </c>
      <c r="K108" s="113"/>
      <c r="L108" s="113" t="s">
        <v>127</v>
      </c>
    </row>
    <row r="109" spans="2:12" ht="21.95" customHeight="1">
      <c r="B109" s="109">
        <v>6</v>
      </c>
      <c r="C109" s="109" t="s">
        <v>347</v>
      </c>
      <c r="D109" s="110" t="s">
        <v>348</v>
      </c>
      <c r="E109" s="109" t="s">
        <v>191</v>
      </c>
      <c r="F109" s="109" t="s">
        <v>124</v>
      </c>
      <c r="G109" s="109"/>
      <c r="H109" s="111" t="s">
        <v>147</v>
      </c>
      <c r="I109" s="114"/>
      <c r="J109" s="113" t="s">
        <v>127</v>
      </c>
      <c r="K109" s="113"/>
      <c r="L109" s="113" t="s">
        <v>127</v>
      </c>
    </row>
    <row r="110" spans="2:12" ht="21.95" customHeight="1">
      <c r="B110" s="109">
        <v>6</v>
      </c>
      <c r="C110" s="109" t="s">
        <v>349</v>
      </c>
      <c r="D110" s="110" t="s">
        <v>350</v>
      </c>
      <c r="E110" s="109" t="s">
        <v>264</v>
      </c>
      <c r="F110" s="109" t="s">
        <v>124</v>
      </c>
      <c r="G110" s="109"/>
      <c r="H110" s="111" t="s">
        <v>126</v>
      </c>
      <c r="I110" s="114"/>
      <c r="J110" s="113"/>
      <c r="K110" s="113"/>
      <c r="L110" s="113" t="s">
        <v>127</v>
      </c>
    </row>
    <row r="111" spans="2:12" ht="21.95" customHeight="1">
      <c r="B111" s="109">
        <v>6</v>
      </c>
      <c r="C111" s="109">
        <v>1778</v>
      </c>
      <c r="D111" s="110" t="s">
        <v>351</v>
      </c>
      <c r="E111" s="109" t="s">
        <v>191</v>
      </c>
      <c r="F111" s="109" t="s">
        <v>124</v>
      </c>
      <c r="G111" s="109"/>
      <c r="H111" s="111" t="s">
        <v>147</v>
      </c>
      <c r="I111" s="114"/>
      <c r="J111" s="113" t="s">
        <v>127</v>
      </c>
      <c r="K111" s="113"/>
      <c r="L111" s="113" t="s">
        <v>127</v>
      </c>
    </row>
    <row r="112" spans="2:12" ht="21.95" customHeight="1">
      <c r="B112" s="109">
        <v>6</v>
      </c>
      <c r="C112" s="109" t="s">
        <v>352</v>
      </c>
      <c r="D112" s="110" t="s">
        <v>353</v>
      </c>
      <c r="E112" s="109" t="s">
        <v>191</v>
      </c>
      <c r="F112" s="109" t="s">
        <v>124</v>
      </c>
      <c r="G112" s="109"/>
      <c r="H112" s="111" t="s">
        <v>147</v>
      </c>
      <c r="I112" s="114"/>
      <c r="J112" s="113" t="s">
        <v>127</v>
      </c>
      <c r="K112" s="113"/>
      <c r="L112" s="113" t="s">
        <v>127</v>
      </c>
    </row>
    <row r="113" spans="1:12" ht="21.95" customHeight="1">
      <c r="B113" s="109">
        <v>6</v>
      </c>
      <c r="C113" s="109" t="s">
        <v>354</v>
      </c>
      <c r="D113" s="110" t="s">
        <v>355</v>
      </c>
      <c r="E113" s="109" t="s">
        <v>191</v>
      </c>
      <c r="F113" s="109" t="s">
        <v>124</v>
      </c>
      <c r="G113" s="109"/>
      <c r="H113" s="111" t="s">
        <v>126</v>
      </c>
      <c r="I113" s="114"/>
      <c r="J113" s="113"/>
      <c r="K113" s="113"/>
      <c r="L113" s="113" t="s">
        <v>127</v>
      </c>
    </row>
    <row r="114" spans="1:12" ht="21.95" customHeight="1">
      <c r="B114" s="109">
        <v>6</v>
      </c>
      <c r="C114" s="109" t="s">
        <v>356</v>
      </c>
      <c r="D114" s="110" t="s">
        <v>357</v>
      </c>
      <c r="E114" s="109" t="s">
        <v>191</v>
      </c>
      <c r="F114" s="109" t="s">
        <v>124</v>
      </c>
      <c r="G114" s="109"/>
      <c r="H114" s="111" t="s">
        <v>147</v>
      </c>
      <c r="I114" s="114"/>
      <c r="J114" s="113" t="s">
        <v>127</v>
      </c>
      <c r="K114" s="113"/>
      <c r="L114" s="113" t="s">
        <v>127</v>
      </c>
    </row>
    <row r="115" spans="1:12" ht="21.95" customHeight="1">
      <c r="B115" s="109">
        <v>6</v>
      </c>
      <c r="C115" s="109" t="s">
        <v>358</v>
      </c>
      <c r="D115" s="110" t="s">
        <v>359</v>
      </c>
      <c r="E115" s="109" t="s">
        <v>191</v>
      </c>
      <c r="F115" s="109" t="s">
        <v>124</v>
      </c>
      <c r="G115" s="109"/>
      <c r="H115" s="111" t="s">
        <v>147</v>
      </c>
      <c r="I115" s="114"/>
      <c r="J115" s="113" t="s">
        <v>127</v>
      </c>
      <c r="K115" s="113"/>
      <c r="L115" s="113" t="s">
        <v>127</v>
      </c>
    </row>
    <row r="116" spans="1:12" ht="21.95" customHeight="1">
      <c r="B116" s="109">
        <v>6</v>
      </c>
      <c r="C116" s="109" t="s">
        <v>360</v>
      </c>
      <c r="D116" s="110" t="s">
        <v>361</v>
      </c>
      <c r="E116" s="109" t="s">
        <v>191</v>
      </c>
      <c r="F116" s="109" t="s">
        <v>124</v>
      </c>
      <c r="G116" s="109"/>
      <c r="H116" s="111" t="s">
        <v>147</v>
      </c>
      <c r="I116" s="114"/>
      <c r="J116" s="113" t="s">
        <v>127</v>
      </c>
      <c r="K116" s="113"/>
      <c r="L116" s="113" t="s">
        <v>127</v>
      </c>
    </row>
    <row r="117" spans="1:12" ht="21.95" customHeight="1">
      <c r="B117" s="109">
        <v>6</v>
      </c>
      <c r="C117" s="109" t="s">
        <v>362</v>
      </c>
      <c r="D117" s="110" t="s">
        <v>363</v>
      </c>
      <c r="E117" s="109" t="s">
        <v>191</v>
      </c>
      <c r="F117" s="109" t="s">
        <v>124</v>
      </c>
      <c r="G117" s="109"/>
      <c r="H117" s="111" t="s">
        <v>147</v>
      </c>
      <c r="I117" s="114"/>
      <c r="J117" s="113" t="s">
        <v>127</v>
      </c>
      <c r="K117" s="113"/>
      <c r="L117" s="113" t="s">
        <v>127</v>
      </c>
    </row>
    <row r="118" spans="1:12" ht="21.95" customHeight="1">
      <c r="B118" s="109">
        <v>6</v>
      </c>
      <c r="C118" s="109" t="s">
        <v>364</v>
      </c>
      <c r="D118" s="110" t="s">
        <v>365</v>
      </c>
      <c r="E118" s="109" t="s">
        <v>191</v>
      </c>
      <c r="F118" s="109" t="s">
        <v>124</v>
      </c>
      <c r="G118" s="109"/>
      <c r="H118" s="111" t="s">
        <v>147</v>
      </c>
      <c r="I118" s="114"/>
      <c r="J118" s="113" t="s">
        <v>127</v>
      </c>
      <c r="K118" s="113"/>
      <c r="L118" s="113" t="s">
        <v>127</v>
      </c>
    </row>
    <row r="119" spans="1:12" ht="21.95" customHeight="1">
      <c r="B119" s="109">
        <v>6</v>
      </c>
      <c r="C119" s="109" t="s">
        <v>366</v>
      </c>
      <c r="D119" s="110" t="s">
        <v>367</v>
      </c>
      <c r="E119" s="109" t="s">
        <v>191</v>
      </c>
      <c r="F119" s="109" t="s">
        <v>124</v>
      </c>
      <c r="G119" s="109"/>
      <c r="H119" s="111" t="s">
        <v>147</v>
      </c>
      <c r="I119" s="114"/>
      <c r="J119" s="113" t="s">
        <v>127</v>
      </c>
      <c r="K119" s="113"/>
      <c r="L119" s="113" t="s">
        <v>127</v>
      </c>
    </row>
    <row r="120" spans="1:12" ht="21.95" customHeight="1">
      <c r="B120" s="109">
        <v>6</v>
      </c>
      <c r="C120" s="109" t="s">
        <v>368</v>
      </c>
      <c r="D120" s="110" t="s">
        <v>369</v>
      </c>
      <c r="E120" s="109" t="s">
        <v>191</v>
      </c>
      <c r="F120" s="109" t="s">
        <v>124</v>
      </c>
      <c r="G120" s="109"/>
      <c r="H120" s="111" t="s">
        <v>147</v>
      </c>
      <c r="I120" s="114"/>
      <c r="J120" s="113" t="s">
        <v>127</v>
      </c>
      <c r="K120" s="113"/>
      <c r="L120" s="113" t="s">
        <v>127</v>
      </c>
    </row>
    <row r="121" spans="1:12" ht="21.95" customHeight="1">
      <c r="B121" s="109">
        <v>6</v>
      </c>
      <c r="C121" s="109" t="s">
        <v>370</v>
      </c>
      <c r="D121" s="110" t="s">
        <v>371</v>
      </c>
      <c r="E121" s="109" t="s">
        <v>191</v>
      </c>
      <c r="F121" s="109" t="s">
        <v>124</v>
      </c>
      <c r="G121" s="109"/>
      <c r="H121" s="111" t="s">
        <v>147</v>
      </c>
      <c r="I121" s="114"/>
      <c r="J121" s="113" t="s">
        <v>127</v>
      </c>
      <c r="K121" s="113"/>
      <c r="L121" s="113" t="s">
        <v>127</v>
      </c>
    </row>
    <row r="122" spans="1:12" ht="21.95" customHeight="1">
      <c r="A122" s="81" t="s">
        <v>168</v>
      </c>
      <c r="B122" s="109">
        <v>6</v>
      </c>
      <c r="C122" s="109">
        <v>1808</v>
      </c>
      <c r="D122" s="110" t="s">
        <v>372</v>
      </c>
      <c r="E122" s="109" t="s">
        <v>373</v>
      </c>
      <c r="F122" s="114" t="s">
        <v>374</v>
      </c>
      <c r="G122" s="109"/>
      <c r="H122" s="111" t="s">
        <v>147</v>
      </c>
      <c r="I122" s="114"/>
      <c r="J122" s="113" t="s">
        <v>127</v>
      </c>
      <c r="K122" s="113"/>
      <c r="L122" s="113" t="s">
        <v>127</v>
      </c>
    </row>
    <row r="123" spans="1:12" ht="21.95" customHeight="1">
      <c r="B123" s="109">
        <v>6</v>
      </c>
      <c r="C123" s="109" t="s">
        <v>375</v>
      </c>
      <c r="D123" s="110" t="s">
        <v>376</v>
      </c>
      <c r="E123" s="109" t="s">
        <v>191</v>
      </c>
      <c r="F123" s="109" t="s">
        <v>124</v>
      </c>
      <c r="G123" s="109"/>
      <c r="H123" s="111" t="s">
        <v>147</v>
      </c>
      <c r="I123" s="114"/>
      <c r="J123" s="113" t="s">
        <v>127</v>
      </c>
      <c r="K123" s="113"/>
      <c r="L123" s="113" t="s">
        <v>127</v>
      </c>
    </row>
    <row r="124" spans="1:12" ht="21.95" customHeight="1">
      <c r="B124" s="109">
        <v>6</v>
      </c>
      <c r="C124" s="109" t="s">
        <v>377</v>
      </c>
      <c r="D124" s="110" t="s">
        <v>378</v>
      </c>
      <c r="E124" s="109" t="s">
        <v>191</v>
      </c>
      <c r="F124" s="109" t="s">
        <v>124</v>
      </c>
      <c r="G124" s="109"/>
      <c r="H124" s="111" t="s">
        <v>147</v>
      </c>
      <c r="I124" s="114"/>
      <c r="J124" s="113" t="s">
        <v>127</v>
      </c>
      <c r="K124" s="113"/>
      <c r="L124" s="113" t="s">
        <v>127</v>
      </c>
    </row>
    <row r="125" spans="1:12" ht="21.95" customHeight="1">
      <c r="B125" s="109">
        <v>6</v>
      </c>
      <c r="C125" s="109" t="s">
        <v>379</v>
      </c>
      <c r="D125" s="110" t="s">
        <v>380</v>
      </c>
      <c r="E125" s="109" t="s">
        <v>191</v>
      </c>
      <c r="F125" s="109" t="s">
        <v>124</v>
      </c>
      <c r="G125" s="109"/>
      <c r="H125" s="111" t="s">
        <v>147</v>
      </c>
      <c r="I125" s="114"/>
      <c r="J125" s="113" t="s">
        <v>127</v>
      </c>
      <c r="K125" s="113"/>
      <c r="L125" s="113" t="s">
        <v>127</v>
      </c>
    </row>
    <row r="126" spans="1:12" ht="21.95" customHeight="1">
      <c r="B126" s="109">
        <v>6</v>
      </c>
      <c r="C126" s="109" t="s">
        <v>381</v>
      </c>
      <c r="D126" s="110" t="s">
        <v>382</v>
      </c>
      <c r="E126" s="109" t="s">
        <v>191</v>
      </c>
      <c r="F126" s="109" t="s">
        <v>124</v>
      </c>
      <c r="G126" s="109"/>
      <c r="H126" s="111" t="s">
        <v>126</v>
      </c>
      <c r="I126" s="114"/>
      <c r="J126" s="113"/>
      <c r="K126" s="113"/>
      <c r="L126" s="113" t="s">
        <v>127</v>
      </c>
    </row>
    <row r="127" spans="1:12" ht="21.95" customHeight="1">
      <c r="B127" s="109">
        <v>6</v>
      </c>
      <c r="C127" s="109" t="s">
        <v>383</v>
      </c>
      <c r="D127" s="110" t="s">
        <v>384</v>
      </c>
      <c r="E127" s="109" t="s">
        <v>297</v>
      </c>
      <c r="F127" s="109" t="s">
        <v>124</v>
      </c>
      <c r="G127" s="109"/>
      <c r="H127" s="111" t="s">
        <v>126</v>
      </c>
      <c r="I127" s="114"/>
      <c r="J127" s="113"/>
      <c r="K127" s="113"/>
      <c r="L127" s="113" t="s">
        <v>127</v>
      </c>
    </row>
    <row r="128" spans="1:12" ht="21.95" customHeight="1">
      <c r="B128" s="109">
        <v>6</v>
      </c>
      <c r="C128" s="109" t="s">
        <v>385</v>
      </c>
      <c r="D128" s="110" t="s">
        <v>386</v>
      </c>
      <c r="E128" s="109" t="s">
        <v>191</v>
      </c>
      <c r="F128" s="109" t="s">
        <v>124</v>
      </c>
      <c r="G128" s="109"/>
      <c r="H128" s="111" t="s">
        <v>147</v>
      </c>
      <c r="I128" s="112"/>
      <c r="J128" s="113" t="s">
        <v>127</v>
      </c>
      <c r="K128" s="124"/>
      <c r="L128" s="124" t="s">
        <v>127</v>
      </c>
    </row>
    <row r="129" spans="1:12" ht="21.95" customHeight="1">
      <c r="B129" s="109">
        <v>6</v>
      </c>
      <c r="C129" s="109" t="s">
        <v>387</v>
      </c>
      <c r="D129" s="110" t="s">
        <v>388</v>
      </c>
      <c r="E129" s="109" t="s">
        <v>191</v>
      </c>
      <c r="F129" s="109" t="s">
        <v>124</v>
      </c>
      <c r="G129" s="109" t="s">
        <v>166</v>
      </c>
      <c r="H129" s="111" t="s">
        <v>126</v>
      </c>
      <c r="I129" s="114"/>
      <c r="J129" s="113"/>
      <c r="K129" s="113"/>
      <c r="L129" s="113" t="s">
        <v>127</v>
      </c>
    </row>
    <row r="130" spans="1:12" ht="21.95" customHeight="1">
      <c r="B130" s="109">
        <v>6</v>
      </c>
      <c r="C130" s="109" t="s">
        <v>320</v>
      </c>
      <c r="D130" s="110" t="s">
        <v>321</v>
      </c>
      <c r="E130" s="109" t="s">
        <v>191</v>
      </c>
      <c r="F130" s="109" t="s">
        <v>124</v>
      </c>
      <c r="G130" s="109" t="s">
        <v>205</v>
      </c>
      <c r="H130" s="111" t="s">
        <v>147</v>
      </c>
      <c r="I130" s="114"/>
      <c r="J130" s="113"/>
      <c r="K130" s="113"/>
      <c r="L130" s="113" t="s">
        <v>127</v>
      </c>
    </row>
    <row r="131" spans="1:12" ht="21.95" customHeight="1">
      <c r="B131" s="115">
        <v>6.5</v>
      </c>
      <c r="C131" s="115"/>
      <c r="D131" s="103" t="s">
        <v>389</v>
      </c>
      <c r="E131" s="115"/>
      <c r="F131" s="115"/>
      <c r="G131" s="115"/>
      <c r="H131" s="115"/>
      <c r="I131" s="120"/>
      <c r="J131" s="115"/>
      <c r="K131" s="121"/>
      <c r="L131" s="119"/>
    </row>
    <row r="132" spans="1:12" ht="21.95" customHeight="1">
      <c r="B132" s="109">
        <v>7</v>
      </c>
      <c r="C132" s="109">
        <v>2015</v>
      </c>
      <c r="D132" s="110" t="s">
        <v>390</v>
      </c>
      <c r="E132" s="109" t="s">
        <v>191</v>
      </c>
      <c r="F132" s="109" t="s">
        <v>124</v>
      </c>
      <c r="G132" s="109" t="s">
        <v>205</v>
      </c>
      <c r="H132" s="111" t="s">
        <v>147</v>
      </c>
      <c r="I132" s="114"/>
      <c r="J132" s="113" t="s">
        <v>127</v>
      </c>
      <c r="K132" s="113"/>
      <c r="L132" s="113" t="s">
        <v>127</v>
      </c>
    </row>
    <row r="133" spans="1:12" ht="21.95" customHeight="1">
      <c r="B133" s="109">
        <v>7</v>
      </c>
      <c r="C133" s="109" t="s">
        <v>391</v>
      </c>
      <c r="D133" s="110" t="s">
        <v>392</v>
      </c>
      <c r="E133" s="109" t="s">
        <v>191</v>
      </c>
      <c r="F133" s="109" t="s">
        <v>124</v>
      </c>
      <c r="G133" s="109"/>
      <c r="H133" s="111" t="s">
        <v>147</v>
      </c>
      <c r="I133" s="114"/>
      <c r="J133" s="113" t="s">
        <v>127</v>
      </c>
      <c r="K133" s="113"/>
      <c r="L133" s="113" t="s">
        <v>127</v>
      </c>
    </row>
    <row r="134" spans="1:12" ht="21.95" customHeight="1">
      <c r="B134" s="109">
        <v>7</v>
      </c>
      <c r="C134" s="109" t="s">
        <v>393</v>
      </c>
      <c r="D134" s="110" t="s">
        <v>394</v>
      </c>
      <c r="E134" s="109" t="s">
        <v>191</v>
      </c>
      <c r="F134" s="109" t="s">
        <v>124</v>
      </c>
      <c r="G134" s="109" t="s">
        <v>205</v>
      </c>
      <c r="H134" s="111" t="s">
        <v>147</v>
      </c>
      <c r="I134" s="114"/>
      <c r="J134" s="113" t="s">
        <v>127</v>
      </c>
      <c r="K134" s="113"/>
      <c r="L134" s="113" t="s">
        <v>127</v>
      </c>
    </row>
    <row r="135" spans="1:12" ht="21.95" customHeight="1">
      <c r="B135" s="109">
        <v>7</v>
      </c>
      <c r="C135" s="109" t="s">
        <v>395</v>
      </c>
      <c r="D135" s="110" t="s">
        <v>396</v>
      </c>
      <c r="E135" s="109" t="s">
        <v>191</v>
      </c>
      <c r="F135" s="109" t="s">
        <v>124</v>
      </c>
      <c r="G135" s="109"/>
      <c r="H135" s="111" t="s">
        <v>147</v>
      </c>
      <c r="I135" s="114"/>
      <c r="J135" s="113" t="s">
        <v>127</v>
      </c>
      <c r="K135" s="113"/>
      <c r="L135" s="113" t="s">
        <v>127</v>
      </c>
    </row>
    <row r="136" spans="1:12" ht="21.95" customHeight="1">
      <c r="B136" s="109">
        <v>7</v>
      </c>
      <c r="C136" s="109" t="s">
        <v>397</v>
      </c>
      <c r="D136" s="110" t="s">
        <v>398</v>
      </c>
      <c r="E136" s="109" t="s">
        <v>191</v>
      </c>
      <c r="F136" s="109" t="s">
        <v>124</v>
      </c>
      <c r="G136" s="109"/>
      <c r="H136" s="111" t="s">
        <v>147</v>
      </c>
      <c r="I136" s="114"/>
      <c r="J136" s="113" t="s">
        <v>127</v>
      </c>
      <c r="K136" s="113"/>
      <c r="L136" s="113" t="s">
        <v>127</v>
      </c>
    </row>
    <row r="137" spans="1:12" ht="21.95" customHeight="1">
      <c r="B137" s="109">
        <v>7</v>
      </c>
      <c r="C137" s="109" t="s">
        <v>399</v>
      </c>
      <c r="D137" s="110" t="s">
        <v>400</v>
      </c>
      <c r="E137" s="109" t="s">
        <v>191</v>
      </c>
      <c r="F137" s="109" t="s">
        <v>124</v>
      </c>
      <c r="G137" s="109" t="s">
        <v>205</v>
      </c>
      <c r="H137" s="111" t="s">
        <v>147</v>
      </c>
      <c r="I137" s="114"/>
      <c r="J137" s="113" t="s">
        <v>127</v>
      </c>
      <c r="K137" s="113"/>
      <c r="L137" s="113" t="s">
        <v>127</v>
      </c>
    </row>
    <row r="138" spans="1:12" ht="21.95" customHeight="1">
      <c r="B138" s="109">
        <v>7</v>
      </c>
      <c r="C138" s="109" t="s">
        <v>401</v>
      </c>
      <c r="D138" s="110" t="s">
        <v>402</v>
      </c>
      <c r="E138" s="109" t="s">
        <v>191</v>
      </c>
      <c r="F138" s="109" t="s">
        <v>124</v>
      </c>
      <c r="G138" s="109"/>
      <c r="H138" s="111" t="s">
        <v>147</v>
      </c>
      <c r="I138" s="114"/>
      <c r="J138" s="113" t="s">
        <v>127</v>
      </c>
      <c r="K138" s="113"/>
      <c r="L138" s="113" t="s">
        <v>127</v>
      </c>
    </row>
    <row r="139" spans="1:12" ht="21.95" customHeight="1">
      <c r="B139" s="109">
        <v>7</v>
      </c>
      <c r="C139" s="109" t="s">
        <v>403</v>
      </c>
      <c r="D139" s="110" t="s">
        <v>404</v>
      </c>
      <c r="E139" s="109" t="s">
        <v>191</v>
      </c>
      <c r="F139" s="109" t="s">
        <v>124</v>
      </c>
      <c r="G139" s="109" t="s">
        <v>205</v>
      </c>
      <c r="H139" s="111" t="s">
        <v>147</v>
      </c>
      <c r="I139" s="114"/>
      <c r="J139" s="113" t="s">
        <v>127</v>
      </c>
      <c r="K139" s="113"/>
      <c r="L139" s="113" t="s">
        <v>127</v>
      </c>
    </row>
    <row r="140" spans="1:12" ht="21.95" customHeight="1">
      <c r="B140" s="109">
        <v>7</v>
      </c>
      <c r="C140" s="109" t="s">
        <v>405</v>
      </c>
      <c r="D140" s="110" t="s">
        <v>406</v>
      </c>
      <c r="E140" s="109" t="s">
        <v>191</v>
      </c>
      <c r="F140" s="109" t="s">
        <v>124</v>
      </c>
      <c r="G140" s="109" t="s">
        <v>209</v>
      </c>
      <c r="H140" s="111" t="s">
        <v>147</v>
      </c>
      <c r="I140" s="114"/>
      <c r="J140" s="113" t="s">
        <v>127</v>
      </c>
      <c r="K140" s="113"/>
      <c r="L140" s="113" t="s">
        <v>127</v>
      </c>
    </row>
    <row r="141" spans="1:12" ht="21.95" customHeight="1">
      <c r="B141" s="109">
        <v>7</v>
      </c>
      <c r="C141" s="109" t="s">
        <v>407</v>
      </c>
      <c r="D141" s="110" t="s">
        <v>408</v>
      </c>
      <c r="E141" s="109" t="s">
        <v>191</v>
      </c>
      <c r="F141" s="109" t="s">
        <v>124</v>
      </c>
      <c r="G141" s="109" t="s">
        <v>205</v>
      </c>
      <c r="H141" s="111" t="s">
        <v>147</v>
      </c>
      <c r="I141" s="114"/>
      <c r="J141" s="113" t="s">
        <v>127</v>
      </c>
      <c r="K141" s="113"/>
      <c r="L141" s="113" t="s">
        <v>127</v>
      </c>
    </row>
    <row r="142" spans="1:12" ht="21.95" customHeight="1">
      <c r="B142" s="109">
        <v>7</v>
      </c>
      <c r="C142" s="109" t="s">
        <v>409</v>
      </c>
      <c r="D142" s="110" t="s">
        <v>410</v>
      </c>
      <c r="E142" s="109" t="s">
        <v>191</v>
      </c>
      <c r="F142" s="109" t="s">
        <v>124</v>
      </c>
      <c r="G142" s="109"/>
      <c r="H142" s="111" t="s">
        <v>147</v>
      </c>
      <c r="I142" s="114"/>
      <c r="J142" s="113" t="s">
        <v>127</v>
      </c>
      <c r="K142" s="113"/>
      <c r="L142" s="113" t="s">
        <v>127</v>
      </c>
    </row>
    <row r="143" spans="1:12" ht="21.95" customHeight="1">
      <c r="B143" s="109">
        <v>7</v>
      </c>
      <c r="C143" s="109" t="s">
        <v>411</v>
      </c>
      <c r="D143" s="110" t="s">
        <v>412</v>
      </c>
      <c r="E143" s="109" t="s">
        <v>191</v>
      </c>
      <c r="F143" s="109" t="s">
        <v>124</v>
      </c>
      <c r="G143" s="109"/>
      <c r="H143" s="111" t="s">
        <v>147</v>
      </c>
      <c r="I143" s="114"/>
      <c r="J143" s="113" t="s">
        <v>127</v>
      </c>
      <c r="K143" s="113"/>
      <c r="L143" s="113" t="s">
        <v>127</v>
      </c>
    </row>
    <row r="144" spans="1:12" ht="21.95" customHeight="1">
      <c r="A144" s="81" t="s">
        <v>168</v>
      </c>
      <c r="B144" s="109">
        <v>7</v>
      </c>
      <c r="C144" s="109" t="s">
        <v>413</v>
      </c>
      <c r="D144" s="110" t="s">
        <v>414</v>
      </c>
      <c r="E144" s="109" t="s">
        <v>373</v>
      </c>
      <c r="F144" s="109"/>
      <c r="G144" s="109"/>
      <c r="H144" s="111" t="s">
        <v>147</v>
      </c>
      <c r="I144" s="114"/>
      <c r="J144" s="113"/>
      <c r="K144" s="113"/>
      <c r="L144" s="113"/>
    </row>
    <row r="145" spans="1:12" ht="21.95" customHeight="1">
      <c r="B145" s="109">
        <v>7</v>
      </c>
      <c r="C145" s="109" t="s">
        <v>415</v>
      </c>
      <c r="D145" s="110" t="s">
        <v>416</v>
      </c>
      <c r="E145" s="109" t="s">
        <v>191</v>
      </c>
      <c r="F145" s="109" t="s">
        <v>124</v>
      </c>
      <c r="G145" s="109"/>
      <c r="H145" s="111" t="s">
        <v>147</v>
      </c>
      <c r="I145" s="114"/>
      <c r="J145" s="113" t="s">
        <v>127</v>
      </c>
      <c r="K145" s="113"/>
      <c r="L145" s="113" t="s">
        <v>127</v>
      </c>
    </row>
    <row r="146" spans="1:12" ht="21.95" customHeight="1">
      <c r="B146" s="109">
        <v>7</v>
      </c>
      <c r="C146" s="109" t="s">
        <v>417</v>
      </c>
      <c r="D146" s="110" t="s">
        <v>418</v>
      </c>
      <c r="E146" s="109" t="s">
        <v>191</v>
      </c>
      <c r="F146" s="109" t="s">
        <v>124</v>
      </c>
      <c r="G146" s="109" t="s">
        <v>419</v>
      </c>
      <c r="H146" s="111" t="s">
        <v>147</v>
      </c>
      <c r="I146" s="114"/>
      <c r="J146" s="113" t="s">
        <v>127</v>
      </c>
      <c r="K146" s="113"/>
      <c r="L146" s="113" t="s">
        <v>127</v>
      </c>
    </row>
    <row r="147" spans="1:12" ht="21.95" customHeight="1">
      <c r="B147" s="109">
        <v>7</v>
      </c>
      <c r="C147" s="109" t="s">
        <v>420</v>
      </c>
      <c r="D147" s="110" t="s">
        <v>421</v>
      </c>
      <c r="E147" s="109" t="s">
        <v>373</v>
      </c>
      <c r="F147" s="109"/>
      <c r="G147" s="109"/>
      <c r="H147" s="111" t="s">
        <v>147</v>
      </c>
      <c r="I147" s="114"/>
      <c r="J147" s="113" t="s">
        <v>127</v>
      </c>
      <c r="K147" s="113"/>
      <c r="L147" s="113" t="s">
        <v>127</v>
      </c>
    </row>
    <row r="148" spans="1:12" ht="21.95" customHeight="1">
      <c r="B148" s="109">
        <v>7</v>
      </c>
      <c r="C148" s="109" t="s">
        <v>422</v>
      </c>
      <c r="D148" s="110" t="s">
        <v>423</v>
      </c>
      <c r="E148" s="109" t="s">
        <v>191</v>
      </c>
      <c r="F148" s="109" t="s">
        <v>124</v>
      </c>
      <c r="G148" s="109" t="s">
        <v>205</v>
      </c>
      <c r="H148" s="111" t="s">
        <v>147</v>
      </c>
      <c r="I148" s="114"/>
      <c r="J148" s="113" t="s">
        <v>127</v>
      </c>
      <c r="K148" s="113"/>
      <c r="L148" s="113" t="s">
        <v>127</v>
      </c>
    </row>
    <row r="149" spans="1:12" ht="21.95" customHeight="1">
      <c r="B149" s="109">
        <v>7</v>
      </c>
      <c r="C149" s="109" t="s">
        <v>424</v>
      </c>
      <c r="D149" s="110" t="s">
        <v>425</v>
      </c>
      <c r="E149" s="109" t="s">
        <v>191</v>
      </c>
      <c r="F149" s="109" t="s">
        <v>124</v>
      </c>
      <c r="G149" s="109"/>
      <c r="H149" s="111" t="s">
        <v>147</v>
      </c>
      <c r="I149" s="114"/>
      <c r="J149" s="113" t="s">
        <v>127</v>
      </c>
      <c r="K149" s="113"/>
      <c r="L149" s="113" t="s">
        <v>127</v>
      </c>
    </row>
    <row r="150" spans="1:12" ht="21.95" customHeight="1">
      <c r="A150" s="81" t="s">
        <v>168</v>
      </c>
      <c r="B150" s="109">
        <v>7</v>
      </c>
      <c r="C150" s="109" t="s">
        <v>426</v>
      </c>
      <c r="D150" s="110" t="s">
        <v>427</v>
      </c>
      <c r="E150" s="109" t="s">
        <v>373</v>
      </c>
      <c r="F150" s="109"/>
      <c r="G150" s="109"/>
      <c r="H150" s="111" t="s">
        <v>147</v>
      </c>
      <c r="I150" s="114"/>
      <c r="J150" s="113"/>
      <c r="K150" s="113"/>
      <c r="L150" s="113"/>
    </row>
    <row r="151" spans="1:12" ht="21.95" customHeight="1">
      <c r="B151" s="109">
        <v>7</v>
      </c>
      <c r="C151" s="109" t="s">
        <v>428</v>
      </c>
      <c r="D151" s="110" t="s">
        <v>429</v>
      </c>
      <c r="E151" s="109" t="s">
        <v>191</v>
      </c>
      <c r="F151" s="109" t="s">
        <v>124</v>
      </c>
      <c r="G151" s="109"/>
      <c r="H151" s="111" t="s">
        <v>147</v>
      </c>
      <c r="I151" s="114"/>
      <c r="J151" s="113" t="s">
        <v>127</v>
      </c>
      <c r="K151" s="113"/>
      <c r="L151" s="113" t="s">
        <v>127</v>
      </c>
    </row>
    <row r="152" spans="1:12" ht="21.95" customHeight="1">
      <c r="B152" s="109">
        <v>7</v>
      </c>
      <c r="C152" s="109" t="s">
        <v>430</v>
      </c>
      <c r="D152" s="110" t="s">
        <v>431</v>
      </c>
      <c r="E152" s="109" t="s">
        <v>191</v>
      </c>
      <c r="F152" s="109" t="s">
        <v>124</v>
      </c>
      <c r="G152" s="109"/>
      <c r="H152" s="111" t="s">
        <v>147</v>
      </c>
      <c r="I152" s="114"/>
      <c r="J152" s="113" t="s">
        <v>127</v>
      </c>
      <c r="K152" s="113"/>
      <c r="L152" s="113" t="s">
        <v>127</v>
      </c>
    </row>
    <row r="153" spans="1:12" ht="21.95" customHeight="1">
      <c r="B153" s="109">
        <v>7</v>
      </c>
      <c r="C153" s="109" t="s">
        <v>432</v>
      </c>
      <c r="D153" s="110" t="s">
        <v>433</v>
      </c>
      <c r="E153" s="109" t="s">
        <v>191</v>
      </c>
      <c r="F153" s="109" t="s">
        <v>124</v>
      </c>
      <c r="G153" s="109"/>
      <c r="H153" s="111" t="s">
        <v>147</v>
      </c>
      <c r="I153" s="114"/>
      <c r="J153" s="113" t="s">
        <v>127</v>
      </c>
      <c r="K153" s="113"/>
      <c r="L153" s="113" t="s">
        <v>127</v>
      </c>
    </row>
    <row r="154" spans="1:12" ht="21.95" customHeight="1">
      <c r="B154" s="109">
        <v>7</v>
      </c>
      <c r="C154" s="109" t="s">
        <v>434</v>
      </c>
      <c r="D154" s="110" t="s">
        <v>435</v>
      </c>
      <c r="E154" s="109" t="s">
        <v>191</v>
      </c>
      <c r="F154" s="109" t="s">
        <v>124</v>
      </c>
      <c r="G154" s="109"/>
      <c r="H154" s="111" t="s">
        <v>147</v>
      </c>
      <c r="I154" s="114"/>
      <c r="J154" s="113" t="s">
        <v>127</v>
      </c>
      <c r="K154" s="113"/>
      <c r="L154" s="113" t="s">
        <v>127</v>
      </c>
    </row>
    <row r="155" spans="1:12" ht="21.95" customHeight="1">
      <c r="A155" s="81" t="s">
        <v>168</v>
      </c>
      <c r="B155" s="109">
        <v>7</v>
      </c>
      <c r="C155" s="109" t="s">
        <v>436</v>
      </c>
      <c r="D155" s="110" t="s">
        <v>437</v>
      </c>
      <c r="E155" s="109" t="s">
        <v>373</v>
      </c>
      <c r="F155" s="109"/>
      <c r="G155" s="109"/>
      <c r="H155" s="111" t="s">
        <v>147</v>
      </c>
      <c r="I155" s="114"/>
      <c r="J155" s="113"/>
      <c r="K155" s="113"/>
      <c r="L155" s="113"/>
    </row>
    <row r="156" spans="1:12" ht="21.95" customHeight="1">
      <c r="B156" s="109">
        <v>9</v>
      </c>
      <c r="C156" s="109" t="s">
        <v>438</v>
      </c>
      <c r="D156" s="110" t="s">
        <v>439</v>
      </c>
      <c r="E156" s="109" t="s">
        <v>191</v>
      </c>
      <c r="F156" s="109" t="s">
        <v>124</v>
      </c>
      <c r="G156" s="109" t="s">
        <v>440</v>
      </c>
      <c r="H156" s="111" t="s">
        <v>147</v>
      </c>
      <c r="I156" s="114"/>
      <c r="J156" s="113" t="s">
        <v>127</v>
      </c>
      <c r="K156" s="113"/>
      <c r="L156" s="113" t="s">
        <v>127</v>
      </c>
    </row>
    <row r="157" spans="1:12" ht="21.95" customHeight="1">
      <c r="B157" s="109">
        <v>7</v>
      </c>
      <c r="C157" s="109" t="s">
        <v>441</v>
      </c>
      <c r="D157" s="110" t="s">
        <v>442</v>
      </c>
      <c r="E157" s="109" t="s">
        <v>191</v>
      </c>
      <c r="F157" s="109" t="s">
        <v>124</v>
      </c>
      <c r="G157" s="109"/>
      <c r="H157" s="111" t="s">
        <v>147</v>
      </c>
      <c r="I157" s="114"/>
      <c r="J157" s="113" t="s">
        <v>127</v>
      </c>
      <c r="K157" s="113"/>
      <c r="L157" s="113" t="s">
        <v>127</v>
      </c>
    </row>
    <row r="158" spans="1:12" ht="21.95" customHeight="1">
      <c r="B158" s="109">
        <v>7</v>
      </c>
      <c r="C158" s="109" t="s">
        <v>443</v>
      </c>
      <c r="D158" s="110" t="s">
        <v>444</v>
      </c>
      <c r="E158" s="109" t="s">
        <v>191</v>
      </c>
      <c r="F158" s="109" t="s">
        <v>124</v>
      </c>
      <c r="G158" s="109"/>
      <c r="H158" s="111" t="s">
        <v>147</v>
      </c>
      <c r="I158" s="114"/>
      <c r="J158" s="113" t="s">
        <v>127</v>
      </c>
      <c r="K158" s="113"/>
      <c r="L158" s="113" t="s">
        <v>127</v>
      </c>
    </row>
    <row r="159" spans="1:12" ht="21.95" customHeight="1">
      <c r="B159" s="109">
        <v>7</v>
      </c>
      <c r="C159" s="125" t="s">
        <v>445</v>
      </c>
      <c r="D159" s="110" t="s">
        <v>446</v>
      </c>
      <c r="E159" s="109" t="s">
        <v>191</v>
      </c>
      <c r="F159" s="109" t="s">
        <v>124</v>
      </c>
      <c r="G159" s="109"/>
      <c r="H159" s="111" t="s">
        <v>147</v>
      </c>
      <c r="I159" s="114"/>
      <c r="J159" s="113" t="s">
        <v>127</v>
      </c>
      <c r="K159" s="113"/>
      <c r="L159" s="113" t="s">
        <v>127</v>
      </c>
    </row>
    <row r="160" spans="1:12" ht="21.95" customHeight="1">
      <c r="B160" s="115">
        <v>7.5</v>
      </c>
      <c r="C160" s="115"/>
      <c r="D160" s="103" t="s">
        <v>447</v>
      </c>
      <c r="E160" s="115"/>
      <c r="F160" s="115"/>
      <c r="G160" s="115"/>
      <c r="H160" s="115"/>
      <c r="I160" s="120"/>
      <c r="J160" s="115"/>
      <c r="K160" s="121"/>
      <c r="L160" s="119"/>
    </row>
    <row r="161" spans="1:12" ht="21.95" customHeight="1">
      <c r="A161" s="81" t="s">
        <v>168</v>
      </c>
      <c r="B161" s="109">
        <v>8</v>
      </c>
      <c r="C161" s="109" t="s">
        <v>448</v>
      </c>
      <c r="D161" s="110" t="s">
        <v>449</v>
      </c>
      <c r="E161" s="109" t="s">
        <v>192</v>
      </c>
      <c r="F161" s="109" t="s">
        <v>192</v>
      </c>
      <c r="G161" s="109" t="s">
        <v>419</v>
      </c>
      <c r="H161" s="111" t="s">
        <v>147</v>
      </c>
      <c r="I161" s="114"/>
      <c r="J161" s="113" t="s">
        <v>127</v>
      </c>
      <c r="K161" s="113"/>
      <c r="L161" s="113" t="s">
        <v>127</v>
      </c>
    </row>
    <row r="162" spans="1:12" ht="21.95" customHeight="1">
      <c r="B162" s="109">
        <v>8</v>
      </c>
      <c r="C162" s="109" t="s">
        <v>450</v>
      </c>
      <c r="D162" s="110" t="s">
        <v>451</v>
      </c>
      <c r="E162" s="109" t="s">
        <v>191</v>
      </c>
      <c r="F162" s="109" t="s">
        <v>192</v>
      </c>
      <c r="G162" s="109"/>
      <c r="H162" s="111" t="s">
        <v>147</v>
      </c>
      <c r="I162" s="114"/>
      <c r="J162" s="113" t="s">
        <v>127</v>
      </c>
      <c r="K162" s="113"/>
      <c r="L162" s="113" t="s">
        <v>127</v>
      </c>
    </row>
    <row r="163" spans="1:12" ht="21.95" customHeight="1">
      <c r="A163" s="81" t="s">
        <v>168</v>
      </c>
      <c r="B163" s="109">
        <v>8</v>
      </c>
      <c r="C163" s="109" t="s">
        <v>452</v>
      </c>
      <c r="D163" s="110" t="s">
        <v>453</v>
      </c>
      <c r="E163" s="109" t="s">
        <v>373</v>
      </c>
      <c r="F163" s="109" t="s">
        <v>192</v>
      </c>
      <c r="G163" s="109"/>
      <c r="H163" s="111" t="s">
        <v>454</v>
      </c>
      <c r="I163" s="112"/>
      <c r="J163" s="113"/>
      <c r="K163" s="113"/>
      <c r="L163" s="113" t="s">
        <v>127</v>
      </c>
    </row>
    <row r="164" spans="1:12" ht="21.95" customHeight="1">
      <c r="B164" s="109">
        <v>8</v>
      </c>
      <c r="C164" s="109" t="s">
        <v>455</v>
      </c>
      <c r="D164" s="110" t="s">
        <v>456</v>
      </c>
      <c r="E164" s="109" t="s">
        <v>214</v>
      </c>
      <c r="F164" s="109" t="s">
        <v>157</v>
      </c>
      <c r="G164" s="109"/>
      <c r="H164" s="111" t="s">
        <v>147</v>
      </c>
      <c r="I164" s="122"/>
      <c r="J164" s="113" t="s">
        <v>127</v>
      </c>
      <c r="K164" s="123"/>
      <c r="L164" s="123" t="s">
        <v>127</v>
      </c>
    </row>
    <row r="165" spans="1:12" ht="21.95" customHeight="1">
      <c r="B165" s="109">
        <v>8</v>
      </c>
      <c r="C165" s="109" t="s">
        <v>457</v>
      </c>
      <c r="D165" s="110" t="s">
        <v>458</v>
      </c>
      <c r="E165" s="109" t="s">
        <v>459</v>
      </c>
      <c r="F165" s="109" t="s">
        <v>460</v>
      </c>
      <c r="G165" s="109"/>
      <c r="H165" s="111" t="s">
        <v>147</v>
      </c>
      <c r="I165" s="114"/>
      <c r="J165" s="113" t="s">
        <v>127</v>
      </c>
      <c r="K165" s="113"/>
      <c r="L165" s="113" t="s">
        <v>127</v>
      </c>
    </row>
    <row r="166" spans="1:12" ht="21.95" customHeight="1">
      <c r="B166" s="109">
        <v>8</v>
      </c>
      <c r="C166" s="109" t="s">
        <v>461</v>
      </c>
      <c r="D166" s="110" t="s">
        <v>462</v>
      </c>
      <c r="E166" s="109" t="s">
        <v>459</v>
      </c>
      <c r="F166" s="109" t="s">
        <v>460</v>
      </c>
      <c r="G166" s="109"/>
      <c r="H166" s="111" t="s">
        <v>147</v>
      </c>
      <c r="I166" s="114"/>
      <c r="J166" s="113" t="s">
        <v>127</v>
      </c>
      <c r="K166" s="113"/>
      <c r="L166" s="113" t="s">
        <v>127</v>
      </c>
    </row>
    <row r="167" spans="1:12" ht="21.95" customHeight="1">
      <c r="B167" s="109">
        <v>8</v>
      </c>
      <c r="C167" s="109" t="s">
        <v>463</v>
      </c>
      <c r="D167" s="110" t="s">
        <v>464</v>
      </c>
      <c r="E167" s="109" t="s">
        <v>459</v>
      </c>
      <c r="F167" s="109" t="s">
        <v>460</v>
      </c>
      <c r="G167" s="109"/>
      <c r="H167" s="111" t="s">
        <v>454</v>
      </c>
      <c r="I167" s="114"/>
      <c r="J167" s="113"/>
      <c r="K167" s="113"/>
      <c r="L167" s="113" t="s">
        <v>127</v>
      </c>
    </row>
    <row r="168" spans="1:12" ht="21.95" customHeight="1">
      <c r="B168" s="109">
        <v>8</v>
      </c>
      <c r="C168" s="109" t="s">
        <v>465</v>
      </c>
      <c r="D168" s="110" t="s">
        <v>466</v>
      </c>
      <c r="E168" s="109" t="s">
        <v>459</v>
      </c>
      <c r="F168" s="109" t="s">
        <v>460</v>
      </c>
      <c r="G168" s="109"/>
      <c r="H168" s="126" t="s">
        <v>454</v>
      </c>
      <c r="I168" s="114"/>
      <c r="J168" s="113"/>
      <c r="K168" s="113"/>
      <c r="L168" s="113" t="s">
        <v>127</v>
      </c>
    </row>
    <row r="169" spans="1:12" ht="27.75" customHeight="1">
      <c r="B169" s="109">
        <v>8</v>
      </c>
      <c r="C169" s="109" t="s">
        <v>467</v>
      </c>
      <c r="D169" s="110" t="s">
        <v>468</v>
      </c>
      <c r="E169" s="109" t="s">
        <v>277</v>
      </c>
      <c r="F169" s="109" t="s">
        <v>469</v>
      </c>
      <c r="G169" s="109" t="s">
        <v>419</v>
      </c>
      <c r="H169" s="111" t="s">
        <v>147</v>
      </c>
      <c r="I169" s="114"/>
      <c r="J169" s="113" t="s">
        <v>127</v>
      </c>
      <c r="K169" s="113"/>
      <c r="L169" s="113" t="s">
        <v>127</v>
      </c>
    </row>
    <row r="170" spans="1:12" ht="21.95" customHeight="1">
      <c r="A170" s="81" t="s">
        <v>168</v>
      </c>
      <c r="B170" s="109">
        <v>8</v>
      </c>
      <c r="C170" s="109" t="s">
        <v>470</v>
      </c>
      <c r="D170" s="110" t="s">
        <v>471</v>
      </c>
      <c r="E170" s="109" t="s">
        <v>373</v>
      </c>
      <c r="F170" s="109" t="s">
        <v>460</v>
      </c>
      <c r="G170" s="109"/>
      <c r="H170" s="111" t="s">
        <v>147</v>
      </c>
      <c r="I170" s="114"/>
      <c r="J170" s="113" t="s">
        <v>127</v>
      </c>
      <c r="K170" s="113"/>
      <c r="L170" s="113" t="s">
        <v>127</v>
      </c>
    </row>
    <row r="171" spans="1:12" ht="21.95" customHeight="1">
      <c r="B171" s="109">
        <v>8</v>
      </c>
      <c r="C171" s="109" t="s">
        <v>472</v>
      </c>
      <c r="D171" s="110" t="s">
        <v>473</v>
      </c>
      <c r="E171" s="109" t="s">
        <v>459</v>
      </c>
      <c r="F171" s="109" t="s">
        <v>460</v>
      </c>
      <c r="G171" s="109"/>
      <c r="H171" s="111" t="s">
        <v>454</v>
      </c>
      <c r="I171" s="114"/>
      <c r="J171" s="113"/>
      <c r="K171" s="113"/>
      <c r="L171" s="113" t="s">
        <v>127</v>
      </c>
    </row>
    <row r="172" spans="1:12" ht="21.95" customHeight="1">
      <c r="B172" s="109">
        <v>8</v>
      </c>
      <c r="C172" s="109" t="s">
        <v>474</v>
      </c>
      <c r="D172" s="110" t="s">
        <v>475</v>
      </c>
      <c r="E172" s="109" t="s">
        <v>459</v>
      </c>
      <c r="F172" s="109" t="s">
        <v>460</v>
      </c>
      <c r="G172" s="109"/>
      <c r="H172" s="111" t="s">
        <v>454</v>
      </c>
      <c r="I172" s="114"/>
      <c r="J172" s="113"/>
      <c r="K172" s="113"/>
      <c r="L172" s="113" t="s">
        <v>127</v>
      </c>
    </row>
    <row r="173" spans="1:12" ht="21.95" customHeight="1">
      <c r="B173" s="109">
        <v>8</v>
      </c>
      <c r="C173" s="109" t="s">
        <v>476</v>
      </c>
      <c r="D173" s="127" t="s">
        <v>477</v>
      </c>
      <c r="E173" s="109" t="s">
        <v>459</v>
      </c>
      <c r="F173" s="109" t="s">
        <v>460</v>
      </c>
      <c r="G173" s="109"/>
      <c r="H173" s="111" t="s">
        <v>454</v>
      </c>
      <c r="I173" s="114"/>
      <c r="J173" s="113"/>
      <c r="K173" s="128"/>
      <c r="L173" s="128" t="s">
        <v>127</v>
      </c>
    </row>
    <row r="174" spans="1:12" ht="21.95" customHeight="1">
      <c r="B174" s="109">
        <v>8</v>
      </c>
      <c r="C174" s="109" t="s">
        <v>478</v>
      </c>
      <c r="D174" s="127" t="s">
        <v>479</v>
      </c>
      <c r="E174" s="109" t="s">
        <v>459</v>
      </c>
      <c r="F174" s="109" t="s">
        <v>460</v>
      </c>
      <c r="G174" s="109"/>
      <c r="H174" s="111" t="s">
        <v>147</v>
      </c>
      <c r="I174" s="114"/>
      <c r="J174" s="113" t="s">
        <v>127</v>
      </c>
      <c r="K174" s="128"/>
      <c r="L174" s="128" t="s">
        <v>127</v>
      </c>
    </row>
    <row r="175" spans="1:12" ht="21.95" customHeight="1">
      <c r="B175" s="109">
        <v>8</v>
      </c>
      <c r="C175" s="109" t="s">
        <v>480</v>
      </c>
      <c r="D175" s="110" t="s">
        <v>481</v>
      </c>
      <c r="E175" s="109" t="s">
        <v>192</v>
      </c>
      <c r="F175" s="109" t="s">
        <v>192</v>
      </c>
      <c r="G175" s="109"/>
      <c r="H175" s="111" t="s">
        <v>147</v>
      </c>
      <c r="I175" s="112"/>
      <c r="J175" s="113" t="s">
        <v>127</v>
      </c>
      <c r="K175" s="129"/>
      <c r="L175" s="129" t="s">
        <v>127</v>
      </c>
    </row>
    <row r="176" spans="1:12" ht="21.95" customHeight="1">
      <c r="A176" s="81" t="s">
        <v>168</v>
      </c>
      <c r="B176" s="109">
        <v>8</v>
      </c>
      <c r="C176" s="109" t="s">
        <v>482</v>
      </c>
      <c r="D176" s="110" t="s">
        <v>483</v>
      </c>
      <c r="E176" s="109"/>
      <c r="F176" s="109"/>
      <c r="G176" s="109"/>
      <c r="H176" s="111" t="s">
        <v>147</v>
      </c>
      <c r="I176" s="114"/>
      <c r="J176" s="113" t="s">
        <v>127</v>
      </c>
      <c r="K176" s="129"/>
      <c r="L176" s="129" t="s">
        <v>127</v>
      </c>
    </row>
    <row r="177" spans="1:12" ht="21.95" customHeight="1">
      <c r="B177" s="109">
        <v>8</v>
      </c>
      <c r="C177" s="109" t="s">
        <v>484</v>
      </c>
      <c r="D177" s="110" t="s">
        <v>485</v>
      </c>
      <c r="E177" s="109" t="s">
        <v>191</v>
      </c>
      <c r="F177" s="109" t="s">
        <v>192</v>
      </c>
      <c r="G177" s="109"/>
      <c r="H177" s="111" t="s">
        <v>147</v>
      </c>
      <c r="I177" s="114"/>
      <c r="J177" s="113" t="s">
        <v>127</v>
      </c>
      <c r="K177" s="113"/>
      <c r="L177" s="113" t="s">
        <v>127</v>
      </c>
    </row>
    <row r="178" spans="1:12" ht="21.95" customHeight="1">
      <c r="B178" s="109">
        <v>8</v>
      </c>
      <c r="C178" s="109" t="s">
        <v>486</v>
      </c>
      <c r="D178" s="110" t="s">
        <v>487</v>
      </c>
      <c r="E178" s="109" t="s">
        <v>191</v>
      </c>
      <c r="F178" s="109" t="s">
        <v>192</v>
      </c>
      <c r="G178" s="109"/>
      <c r="H178" s="111" t="s">
        <v>147</v>
      </c>
      <c r="I178" s="114"/>
      <c r="J178" s="113" t="s">
        <v>127</v>
      </c>
      <c r="K178" s="113"/>
      <c r="L178" s="113" t="s">
        <v>127</v>
      </c>
    </row>
    <row r="179" spans="1:12" ht="21.95" customHeight="1">
      <c r="B179" s="109">
        <v>8</v>
      </c>
      <c r="C179" s="109" t="s">
        <v>488</v>
      </c>
      <c r="D179" s="110" t="s">
        <v>489</v>
      </c>
      <c r="E179" s="109" t="s">
        <v>191</v>
      </c>
      <c r="F179" s="109" t="s">
        <v>192</v>
      </c>
      <c r="G179" s="109"/>
      <c r="H179" s="111" t="s">
        <v>147</v>
      </c>
      <c r="I179" s="114"/>
      <c r="J179" s="113" t="s">
        <v>127</v>
      </c>
      <c r="K179" s="113"/>
      <c r="L179" s="113" t="s">
        <v>127</v>
      </c>
    </row>
    <row r="180" spans="1:12" ht="21.95" customHeight="1">
      <c r="B180" s="109">
        <v>8</v>
      </c>
      <c r="C180" s="109" t="s">
        <v>490</v>
      </c>
      <c r="D180" s="110" t="s">
        <v>491</v>
      </c>
      <c r="E180" s="109" t="s">
        <v>191</v>
      </c>
      <c r="F180" s="109" t="s">
        <v>124</v>
      </c>
      <c r="G180" s="109"/>
      <c r="H180" s="111" t="s">
        <v>147</v>
      </c>
      <c r="I180" s="114"/>
      <c r="J180" s="113" t="s">
        <v>127</v>
      </c>
      <c r="K180" s="113"/>
      <c r="L180" s="113" t="s">
        <v>127</v>
      </c>
    </row>
    <row r="181" spans="1:12" ht="21.95" customHeight="1">
      <c r="B181" s="109">
        <v>8</v>
      </c>
      <c r="C181" s="109" t="s">
        <v>492</v>
      </c>
      <c r="D181" s="110" t="s">
        <v>493</v>
      </c>
      <c r="E181" s="109" t="s">
        <v>494</v>
      </c>
      <c r="F181" s="109" t="s">
        <v>495</v>
      </c>
      <c r="G181" s="109"/>
      <c r="H181" s="111" t="s">
        <v>147</v>
      </c>
      <c r="I181" s="114"/>
      <c r="J181" s="113" t="s">
        <v>127</v>
      </c>
      <c r="K181" s="113"/>
      <c r="L181" s="113" t="s">
        <v>127</v>
      </c>
    </row>
    <row r="182" spans="1:12" ht="21.95" customHeight="1">
      <c r="B182" s="115">
        <v>8.5</v>
      </c>
      <c r="C182" s="115"/>
      <c r="D182" s="103" t="s">
        <v>496</v>
      </c>
      <c r="E182" s="115"/>
      <c r="F182" s="115"/>
      <c r="G182" s="115"/>
      <c r="H182" s="115"/>
      <c r="I182" s="120"/>
      <c r="J182" s="115"/>
      <c r="K182" s="121"/>
      <c r="L182" s="119"/>
    </row>
    <row r="183" spans="1:12" ht="21.95" customHeight="1">
      <c r="B183" s="109">
        <v>9</v>
      </c>
      <c r="C183" s="109" t="s">
        <v>497</v>
      </c>
      <c r="D183" s="110" t="s">
        <v>498</v>
      </c>
      <c r="E183" s="109" t="s">
        <v>499</v>
      </c>
      <c r="F183" s="109" t="s">
        <v>500</v>
      </c>
      <c r="G183" s="109"/>
      <c r="H183" s="111" t="s">
        <v>147</v>
      </c>
      <c r="I183" s="114"/>
      <c r="J183" s="113" t="s">
        <v>127</v>
      </c>
      <c r="K183" s="113"/>
      <c r="L183" s="113" t="s">
        <v>127</v>
      </c>
    </row>
    <row r="184" spans="1:12" ht="21.95" customHeight="1">
      <c r="A184" s="81" t="s">
        <v>168</v>
      </c>
      <c r="B184" s="109">
        <v>9</v>
      </c>
      <c r="C184" s="130" t="s">
        <v>501</v>
      </c>
      <c r="D184" s="127" t="s">
        <v>502</v>
      </c>
      <c r="E184" s="109" t="s">
        <v>373</v>
      </c>
      <c r="F184" s="109"/>
      <c r="G184" s="109"/>
      <c r="H184" s="111"/>
      <c r="I184" s="112"/>
      <c r="J184" s="113" t="s">
        <v>127</v>
      </c>
      <c r="K184" s="124"/>
      <c r="L184" s="124" t="s">
        <v>127</v>
      </c>
    </row>
    <row r="185" spans="1:12" ht="21.95" customHeight="1">
      <c r="B185" s="109">
        <v>9</v>
      </c>
      <c r="C185" s="109" t="s">
        <v>503</v>
      </c>
      <c r="D185" s="110" t="s">
        <v>504</v>
      </c>
      <c r="E185" s="109" t="s">
        <v>499</v>
      </c>
      <c r="F185" s="109" t="s">
        <v>505</v>
      </c>
      <c r="G185" s="109"/>
      <c r="H185" s="111" t="s">
        <v>147</v>
      </c>
      <c r="I185" s="114"/>
      <c r="J185" s="113" t="s">
        <v>127</v>
      </c>
      <c r="K185" s="113"/>
      <c r="L185" s="113" t="s">
        <v>127</v>
      </c>
    </row>
    <row r="186" spans="1:12" ht="21.95" customHeight="1">
      <c r="B186" s="109">
        <v>9</v>
      </c>
      <c r="C186" s="109" t="s">
        <v>506</v>
      </c>
      <c r="D186" s="110" t="s">
        <v>507</v>
      </c>
      <c r="E186" s="109" t="s">
        <v>277</v>
      </c>
      <c r="F186" s="109" t="s">
        <v>469</v>
      </c>
      <c r="G186" s="109"/>
      <c r="H186" s="111" t="s">
        <v>147</v>
      </c>
      <c r="I186" s="114"/>
      <c r="J186" s="113" t="s">
        <v>127</v>
      </c>
      <c r="K186" s="113"/>
      <c r="L186" s="113" t="s">
        <v>127</v>
      </c>
    </row>
    <row r="187" spans="1:12" ht="21.95" customHeight="1">
      <c r="B187" s="109">
        <v>9</v>
      </c>
      <c r="C187" s="109" t="s">
        <v>508</v>
      </c>
      <c r="D187" s="110" t="s">
        <v>509</v>
      </c>
      <c r="E187" s="109" t="s">
        <v>499</v>
      </c>
      <c r="F187" s="109" t="s">
        <v>505</v>
      </c>
      <c r="G187" s="109"/>
      <c r="H187" s="111" t="s">
        <v>147</v>
      </c>
      <c r="I187" s="114"/>
      <c r="J187" s="113" t="s">
        <v>127</v>
      </c>
      <c r="K187" s="113"/>
      <c r="L187" s="113" t="s">
        <v>127</v>
      </c>
    </row>
    <row r="188" spans="1:12" ht="21.95" customHeight="1">
      <c r="B188" s="109">
        <v>9</v>
      </c>
      <c r="C188" s="109" t="s">
        <v>510</v>
      </c>
      <c r="D188" s="110" t="s">
        <v>511</v>
      </c>
      <c r="E188" s="109" t="s">
        <v>214</v>
      </c>
      <c r="F188" s="109" t="s">
        <v>505</v>
      </c>
      <c r="G188" s="109"/>
      <c r="H188" s="111" t="s">
        <v>147</v>
      </c>
      <c r="I188" s="114"/>
      <c r="J188" s="113" t="s">
        <v>127</v>
      </c>
      <c r="K188" s="113"/>
      <c r="L188" s="113" t="s">
        <v>127</v>
      </c>
    </row>
    <row r="189" spans="1:12" ht="21.95" customHeight="1">
      <c r="B189" s="109">
        <v>9</v>
      </c>
      <c r="C189" s="109" t="s">
        <v>512</v>
      </c>
      <c r="D189" s="110" t="s">
        <v>513</v>
      </c>
      <c r="E189" s="109" t="s">
        <v>277</v>
      </c>
      <c r="F189" s="109" t="s">
        <v>469</v>
      </c>
      <c r="G189" s="109"/>
      <c r="H189" s="111" t="s">
        <v>147</v>
      </c>
      <c r="I189" s="114"/>
      <c r="J189" s="113" t="s">
        <v>127</v>
      </c>
      <c r="K189" s="113"/>
      <c r="L189" s="113" t="s">
        <v>127</v>
      </c>
    </row>
    <row r="190" spans="1:12" ht="21.95" customHeight="1">
      <c r="B190" s="109">
        <v>9</v>
      </c>
      <c r="C190" s="109" t="s">
        <v>514</v>
      </c>
      <c r="D190" s="110" t="s">
        <v>515</v>
      </c>
      <c r="E190" s="109" t="s">
        <v>516</v>
      </c>
      <c r="F190" s="109" t="s">
        <v>460</v>
      </c>
      <c r="G190" s="109"/>
      <c r="H190" s="111" t="s">
        <v>147</v>
      </c>
      <c r="I190" s="114"/>
      <c r="J190" s="113" t="s">
        <v>127</v>
      </c>
      <c r="K190" s="113"/>
      <c r="L190" s="113" t="s">
        <v>127</v>
      </c>
    </row>
    <row r="191" spans="1:12" ht="21.95" customHeight="1">
      <c r="B191" s="109">
        <v>9</v>
      </c>
      <c r="C191" s="109" t="s">
        <v>517</v>
      </c>
      <c r="D191" s="110" t="s">
        <v>518</v>
      </c>
      <c r="E191" s="109" t="s">
        <v>214</v>
      </c>
      <c r="F191" s="109" t="s">
        <v>519</v>
      </c>
      <c r="G191" s="109" t="s">
        <v>440</v>
      </c>
      <c r="H191" s="111" t="s">
        <v>147</v>
      </c>
      <c r="I191" s="114"/>
      <c r="J191" s="113" t="s">
        <v>127</v>
      </c>
      <c r="K191" s="113"/>
      <c r="L191" s="113" t="s">
        <v>127</v>
      </c>
    </row>
    <row r="192" spans="1:12" ht="21.95" customHeight="1">
      <c r="B192" s="109">
        <v>9</v>
      </c>
      <c r="C192" s="109" t="s">
        <v>520</v>
      </c>
      <c r="D192" s="110" t="s">
        <v>521</v>
      </c>
      <c r="E192" s="109" t="s">
        <v>499</v>
      </c>
      <c r="F192" s="109" t="s">
        <v>505</v>
      </c>
      <c r="G192" s="109"/>
      <c r="H192" s="111" t="s">
        <v>147</v>
      </c>
      <c r="I192" s="114"/>
      <c r="J192" s="113" t="s">
        <v>127</v>
      </c>
      <c r="K192" s="113"/>
      <c r="L192" s="113" t="s">
        <v>127</v>
      </c>
    </row>
    <row r="193" spans="1:12" ht="21.95" customHeight="1">
      <c r="A193" s="81" t="s">
        <v>168</v>
      </c>
      <c r="B193" s="109">
        <v>9</v>
      </c>
      <c r="C193" s="109" t="s">
        <v>522</v>
      </c>
      <c r="D193" s="110" t="s">
        <v>523</v>
      </c>
      <c r="E193" s="109" t="s">
        <v>524</v>
      </c>
      <c r="F193" s="109" t="s">
        <v>525</v>
      </c>
      <c r="G193" s="109"/>
      <c r="H193" s="111" t="s">
        <v>147</v>
      </c>
      <c r="I193" s="114"/>
      <c r="J193" s="113" t="s">
        <v>127</v>
      </c>
      <c r="K193" s="113"/>
      <c r="L193" s="113" t="s">
        <v>127</v>
      </c>
    </row>
    <row r="194" spans="1:12" ht="21.95" customHeight="1">
      <c r="B194" s="109">
        <v>9</v>
      </c>
      <c r="C194" s="109" t="s">
        <v>526</v>
      </c>
      <c r="D194" s="110" t="s">
        <v>527</v>
      </c>
      <c r="E194" s="109" t="s">
        <v>499</v>
      </c>
      <c r="F194" s="109" t="s">
        <v>505</v>
      </c>
      <c r="G194" s="109" t="s">
        <v>440</v>
      </c>
      <c r="H194" s="111" t="s">
        <v>147</v>
      </c>
      <c r="I194" s="114"/>
      <c r="J194" s="113" t="s">
        <v>127</v>
      </c>
      <c r="K194" s="113"/>
      <c r="L194" s="113" t="s">
        <v>127</v>
      </c>
    </row>
    <row r="195" spans="1:12" ht="21.95" customHeight="1">
      <c r="B195" s="109">
        <v>9</v>
      </c>
      <c r="C195" s="109" t="s">
        <v>528</v>
      </c>
      <c r="D195" s="110" t="s">
        <v>529</v>
      </c>
      <c r="E195" s="109" t="s">
        <v>214</v>
      </c>
      <c r="F195" s="109" t="s">
        <v>157</v>
      </c>
      <c r="G195" s="109"/>
      <c r="H195" s="111" t="s">
        <v>147</v>
      </c>
      <c r="I195" s="114"/>
      <c r="J195" s="113" t="s">
        <v>127</v>
      </c>
      <c r="K195" s="113"/>
      <c r="L195" s="113" t="s">
        <v>127</v>
      </c>
    </row>
    <row r="196" spans="1:12" ht="21.95" customHeight="1">
      <c r="B196" s="109">
        <v>9</v>
      </c>
      <c r="C196" s="109" t="s">
        <v>530</v>
      </c>
      <c r="D196" s="110" t="s">
        <v>531</v>
      </c>
      <c r="E196" s="109" t="s">
        <v>214</v>
      </c>
      <c r="F196" s="109" t="s">
        <v>157</v>
      </c>
      <c r="G196" s="109"/>
      <c r="H196" s="111" t="s">
        <v>147</v>
      </c>
      <c r="I196" s="114"/>
      <c r="J196" s="113" t="s">
        <v>127</v>
      </c>
      <c r="K196" s="113"/>
      <c r="L196" s="113" t="s">
        <v>127</v>
      </c>
    </row>
    <row r="197" spans="1:12" ht="21.95" customHeight="1">
      <c r="B197" s="109">
        <v>9</v>
      </c>
      <c r="C197" s="109" t="s">
        <v>532</v>
      </c>
      <c r="D197" s="110" t="s">
        <v>533</v>
      </c>
      <c r="E197" s="109" t="s">
        <v>277</v>
      </c>
      <c r="F197" s="109" t="s">
        <v>469</v>
      </c>
      <c r="G197" s="109" t="s">
        <v>125</v>
      </c>
      <c r="H197" s="111" t="s">
        <v>147</v>
      </c>
      <c r="I197" s="114"/>
      <c r="J197" s="113" t="s">
        <v>127</v>
      </c>
      <c r="K197" s="113"/>
      <c r="L197" s="113" t="s">
        <v>127</v>
      </c>
    </row>
    <row r="198" spans="1:12" ht="21.95" customHeight="1">
      <c r="B198" s="109">
        <v>9</v>
      </c>
      <c r="C198" s="109" t="s">
        <v>534</v>
      </c>
      <c r="D198" s="110" t="s">
        <v>535</v>
      </c>
      <c r="E198" s="109" t="s">
        <v>536</v>
      </c>
      <c r="F198" s="109" t="s">
        <v>525</v>
      </c>
      <c r="G198" s="109" t="s">
        <v>440</v>
      </c>
      <c r="H198" s="111" t="s">
        <v>147</v>
      </c>
      <c r="I198" s="114"/>
      <c r="J198" s="113" t="s">
        <v>127</v>
      </c>
      <c r="K198" s="113"/>
      <c r="L198" s="113" t="s">
        <v>127</v>
      </c>
    </row>
    <row r="199" spans="1:12" ht="21.95" customHeight="1">
      <c r="B199" s="109">
        <v>9</v>
      </c>
      <c r="C199" s="109" t="s">
        <v>537</v>
      </c>
      <c r="D199" s="110" t="s">
        <v>538</v>
      </c>
      <c r="E199" s="109" t="s">
        <v>277</v>
      </c>
      <c r="F199" s="109" t="s">
        <v>469</v>
      </c>
      <c r="G199" s="109" t="s">
        <v>419</v>
      </c>
      <c r="H199" s="111" t="s">
        <v>147</v>
      </c>
      <c r="I199" s="114"/>
      <c r="J199" s="113" t="s">
        <v>127</v>
      </c>
      <c r="K199" s="113"/>
      <c r="L199" s="113" t="s">
        <v>127</v>
      </c>
    </row>
    <row r="200" spans="1:12" ht="21.95" customHeight="1">
      <c r="B200" s="109">
        <v>9</v>
      </c>
      <c r="C200" s="109" t="s">
        <v>539</v>
      </c>
      <c r="D200" s="110" t="s">
        <v>540</v>
      </c>
      <c r="E200" s="109" t="s">
        <v>156</v>
      </c>
      <c r="F200" s="109" t="s">
        <v>525</v>
      </c>
      <c r="G200" s="109" t="s">
        <v>440</v>
      </c>
      <c r="H200" s="111" t="s">
        <v>147</v>
      </c>
      <c r="I200" s="114"/>
      <c r="J200" s="113" t="s">
        <v>127</v>
      </c>
      <c r="K200" s="113"/>
      <c r="L200" s="113" t="s">
        <v>127</v>
      </c>
    </row>
    <row r="201" spans="1:12" ht="21.95" customHeight="1">
      <c r="B201" s="115">
        <v>9.5</v>
      </c>
      <c r="C201" s="115"/>
      <c r="D201" s="103" t="s">
        <v>541</v>
      </c>
      <c r="E201" s="115"/>
      <c r="F201" s="115"/>
      <c r="G201" s="115"/>
      <c r="H201" s="115"/>
      <c r="I201" s="120"/>
      <c r="J201" s="115"/>
      <c r="K201" s="121"/>
      <c r="L201" s="119"/>
    </row>
    <row r="202" spans="1:12" ht="21.95" customHeight="1">
      <c r="B202" s="109">
        <v>10</v>
      </c>
      <c r="C202" s="109" t="s">
        <v>542</v>
      </c>
      <c r="D202" s="110" t="s">
        <v>543</v>
      </c>
      <c r="E202" s="109" t="s">
        <v>156</v>
      </c>
      <c r="F202" s="109" t="s">
        <v>157</v>
      </c>
      <c r="G202" s="109" t="s">
        <v>125</v>
      </c>
      <c r="H202" s="111" t="s">
        <v>544</v>
      </c>
      <c r="I202" s="112"/>
      <c r="J202" s="113"/>
      <c r="K202" s="131"/>
      <c r="L202" s="131" t="s">
        <v>127</v>
      </c>
    </row>
    <row r="203" spans="1:12" ht="21.95" customHeight="1">
      <c r="B203" s="109">
        <v>10</v>
      </c>
      <c r="C203" s="109" t="s">
        <v>545</v>
      </c>
      <c r="D203" s="110" t="s">
        <v>546</v>
      </c>
      <c r="E203" s="109" t="s">
        <v>156</v>
      </c>
      <c r="F203" s="109" t="s">
        <v>157</v>
      </c>
      <c r="G203" s="109" t="s">
        <v>226</v>
      </c>
      <c r="H203" s="111" t="s">
        <v>544</v>
      </c>
      <c r="I203" s="112"/>
      <c r="J203" s="113"/>
      <c r="K203" s="131"/>
      <c r="L203" s="131" t="s">
        <v>127</v>
      </c>
    </row>
    <row r="204" spans="1:12" ht="21.95" customHeight="1">
      <c r="B204" s="109">
        <v>10</v>
      </c>
      <c r="C204" s="109">
        <v>4604</v>
      </c>
      <c r="D204" s="110" t="s">
        <v>547</v>
      </c>
      <c r="E204" s="109" t="s">
        <v>156</v>
      </c>
      <c r="F204" s="109" t="s">
        <v>157</v>
      </c>
      <c r="G204" s="109"/>
      <c r="H204" s="111" t="s">
        <v>544</v>
      </c>
      <c r="I204" s="132"/>
      <c r="J204" s="113"/>
      <c r="K204" s="131"/>
      <c r="L204" s="131" t="s">
        <v>127</v>
      </c>
    </row>
    <row r="205" spans="1:12" ht="21.95" customHeight="1">
      <c r="B205" s="109">
        <v>10</v>
      </c>
      <c r="C205" s="109" t="s">
        <v>548</v>
      </c>
      <c r="D205" s="110" t="s">
        <v>549</v>
      </c>
      <c r="E205" s="133" t="s">
        <v>214</v>
      </c>
      <c r="F205" s="109" t="s">
        <v>519</v>
      </c>
      <c r="G205" s="109" t="s">
        <v>226</v>
      </c>
      <c r="H205" s="111" t="s">
        <v>147</v>
      </c>
      <c r="I205" s="122"/>
      <c r="J205" s="113" t="s">
        <v>127</v>
      </c>
      <c r="K205" s="123"/>
      <c r="L205" s="123" t="s">
        <v>127</v>
      </c>
    </row>
    <row r="206" spans="1:12" ht="21.95" customHeight="1">
      <c r="B206" s="109">
        <v>10</v>
      </c>
      <c r="C206" s="109" t="s">
        <v>550</v>
      </c>
      <c r="D206" s="110" t="s">
        <v>551</v>
      </c>
      <c r="E206" s="109" t="s">
        <v>156</v>
      </c>
      <c r="F206" s="109" t="s">
        <v>157</v>
      </c>
      <c r="G206" s="109" t="s">
        <v>226</v>
      </c>
      <c r="H206" s="111" t="s">
        <v>544</v>
      </c>
      <c r="I206" s="112"/>
      <c r="J206" s="113"/>
      <c r="K206" s="131"/>
      <c r="L206" s="131" t="s">
        <v>127</v>
      </c>
    </row>
    <row r="207" spans="1:12" ht="21.95" customHeight="1">
      <c r="B207" s="109">
        <v>10</v>
      </c>
      <c r="C207" s="109" t="s">
        <v>552</v>
      </c>
      <c r="D207" s="110" t="s">
        <v>553</v>
      </c>
      <c r="E207" s="109" t="s">
        <v>200</v>
      </c>
      <c r="F207" s="109" t="s">
        <v>124</v>
      </c>
      <c r="G207" s="109" t="s">
        <v>419</v>
      </c>
      <c r="H207" s="111" t="s">
        <v>544</v>
      </c>
      <c r="I207" s="112"/>
      <c r="J207" s="113"/>
      <c r="K207" s="131"/>
      <c r="L207" s="131" t="s">
        <v>127</v>
      </c>
    </row>
    <row r="208" spans="1:12" ht="21.95" customHeight="1">
      <c r="B208" s="109">
        <v>10</v>
      </c>
      <c r="C208" s="109" t="s">
        <v>554</v>
      </c>
      <c r="D208" s="110" t="s">
        <v>555</v>
      </c>
      <c r="E208" s="109" t="s">
        <v>156</v>
      </c>
      <c r="F208" s="109" t="s">
        <v>157</v>
      </c>
      <c r="G208" s="109" t="s">
        <v>226</v>
      </c>
      <c r="H208" s="111" t="s">
        <v>544</v>
      </c>
      <c r="I208" s="112"/>
      <c r="J208" s="113"/>
      <c r="K208" s="131"/>
      <c r="L208" s="131" t="s">
        <v>127</v>
      </c>
    </row>
    <row r="209" spans="1:12" ht="21.95" customHeight="1">
      <c r="B209" s="109">
        <v>10</v>
      </c>
      <c r="C209" s="109" t="s">
        <v>556</v>
      </c>
      <c r="D209" s="110" t="s">
        <v>557</v>
      </c>
      <c r="E209" s="109" t="s">
        <v>156</v>
      </c>
      <c r="F209" s="109" t="s">
        <v>157</v>
      </c>
      <c r="G209" s="109" t="s">
        <v>558</v>
      </c>
      <c r="H209" s="111" t="s">
        <v>147</v>
      </c>
      <c r="I209" s="122"/>
      <c r="J209" s="113" t="s">
        <v>127</v>
      </c>
      <c r="K209" s="123"/>
      <c r="L209" s="123" t="s">
        <v>127</v>
      </c>
    </row>
    <row r="210" spans="1:12" ht="21.95" customHeight="1">
      <c r="A210" s="81" t="s">
        <v>168</v>
      </c>
      <c r="B210" s="109">
        <v>10</v>
      </c>
      <c r="C210" s="109" t="s">
        <v>559</v>
      </c>
      <c r="D210" s="110" t="s">
        <v>560</v>
      </c>
      <c r="E210" s="109" t="s">
        <v>156</v>
      </c>
      <c r="F210" s="109" t="s">
        <v>157</v>
      </c>
      <c r="G210" s="109" t="s">
        <v>226</v>
      </c>
      <c r="H210" s="111" t="s">
        <v>147</v>
      </c>
      <c r="I210" s="114"/>
      <c r="J210" s="113" t="s">
        <v>127</v>
      </c>
      <c r="K210" s="131"/>
      <c r="L210" s="131" t="s">
        <v>127</v>
      </c>
    </row>
    <row r="211" spans="1:12" ht="21.95" customHeight="1">
      <c r="B211" s="109">
        <v>10</v>
      </c>
      <c r="C211" s="109" t="s">
        <v>561</v>
      </c>
      <c r="D211" s="110" t="s">
        <v>562</v>
      </c>
      <c r="E211" s="109" t="s">
        <v>156</v>
      </c>
      <c r="F211" s="109" t="s">
        <v>157</v>
      </c>
      <c r="G211" s="109" t="s">
        <v>226</v>
      </c>
      <c r="H211" s="111" t="s">
        <v>147</v>
      </c>
      <c r="I211" s="122"/>
      <c r="J211" s="113" t="s">
        <v>127</v>
      </c>
      <c r="K211" s="123"/>
      <c r="L211" s="123" t="s">
        <v>127</v>
      </c>
    </row>
    <row r="212" spans="1:12" ht="21.95" customHeight="1">
      <c r="B212" s="109">
        <v>10</v>
      </c>
      <c r="C212" s="109" t="s">
        <v>563</v>
      </c>
      <c r="D212" s="110" t="s">
        <v>564</v>
      </c>
      <c r="E212" s="109" t="s">
        <v>156</v>
      </c>
      <c r="F212" s="109" t="s">
        <v>157</v>
      </c>
      <c r="G212" s="109" t="s">
        <v>226</v>
      </c>
      <c r="H212" s="111" t="s">
        <v>147</v>
      </c>
      <c r="I212" s="114"/>
      <c r="J212" s="113" t="s">
        <v>127</v>
      </c>
      <c r="K212" s="113"/>
      <c r="L212" s="113" t="s">
        <v>127</v>
      </c>
    </row>
    <row r="213" spans="1:12" ht="21.95" customHeight="1">
      <c r="B213" s="109">
        <v>10</v>
      </c>
      <c r="C213" s="109" t="s">
        <v>565</v>
      </c>
      <c r="D213" s="110" t="s">
        <v>566</v>
      </c>
      <c r="E213" s="109" t="s">
        <v>156</v>
      </c>
      <c r="F213" s="109" t="s">
        <v>157</v>
      </c>
      <c r="G213" s="109" t="s">
        <v>226</v>
      </c>
      <c r="H213" s="111" t="s">
        <v>544</v>
      </c>
      <c r="I213" s="112"/>
      <c r="J213" s="113"/>
      <c r="K213" s="113"/>
      <c r="L213" s="113" t="s">
        <v>127</v>
      </c>
    </row>
    <row r="214" spans="1:12" ht="21.95" customHeight="1">
      <c r="B214" s="109">
        <v>10</v>
      </c>
      <c r="C214" s="109" t="s">
        <v>567</v>
      </c>
      <c r="D214" s="110" t="s">
        <v>568</v>
      </c>
      <c r="E214" s="109" t="s">
        <v>156</v>
      </c>
      <c r="F214" s="109" t="s">
        <v>157</v>
      </c>
      <c r="G214" s="109" t="s">
        <v>226</v>
      </c>
      <c r="H214" s="111" t="s">
        <v>544</v>
      </c>
      <c r="I214" s="112"/>
      <c r="J214" s="113"/>
      <c r="K214" s="113"/>
      <c r="L214" s="113" t="s">
        <v>127</v>
      </c>
    </row>
    <row r="215" spans="1:12" ht="21.95" customHeight="1">
      <c r="B215" s="109">
        <v>10</v>
      </c>
      <c r="C215" s="109" t="s">
        <v>569</v>
      </c>
      <c r="D215" s="110" t="s">
        <v>570</v>
      </c>
      <c r="E215" s="109" t="s">
        <v>156</v>
      </c>
      <c r="F215" s="109" t="s">
        <v>157</v>
      </c>
      <c r="G215" s="109" t="s">
        <v>226</v>
      </c>
      <c r="H215" s="111" t="s">
        <v>147</v>
      </c>
      <c r="I215" s="114"/>
      <c r="J215" s="113" t="s">
        <v>127</v>
      </c>
      <c r="K215" s="113"/>
      <c r="L215" s="113" t="s">
        <v>127</v>
      </c>
    </row>
    <row r="216" spans="1:12" ht="21.95" customHeight="1">
      <c r="A216" s="81" t="s">
        <v>168</v>
      </c>
      <c r="B216" s="109">
        <v>10</v>
      </c>
      <c r="C216" s="109" t="s">
        <v>571</v>
      </c>
      <c r="D216" s="110" t="s">
        <v>572</v>
      </c>
      <c r="E216" s="109" t="s">
        <v>459</v>
      </c>
      <c r="F216" s="109" t="s">
        <v>124</v>
      </c>
      <c r="G216" s="109" t="s">
        <v>226</v>
      </c>
      <c r="H216" s="111" t="s">
        <v>544</v>
      </c>
      <c r="I216" s="114"/>
      <c r="J216" s="113"/>
      <c r="K216" s="113"/>
      <c r="L216" s="113" t="s">
        <v>127</v>
      </c>
    </row>
    <row r="217" spans="1:12" ht="21.95" customHeight="1">
      <c r="B217" s="109">
        <v>10</v>
      </c>
      <c r="C217" s="109" t="s">
        <v>573</v>
      </c>
      <c r="D217" s="110" t="s">
        <v>574</v>
      </c>
      <c r="E217" s="109" t="s">
        <v>156</v>
      </c>
      <c r="F217" s="109" t="s">
        <v>157</v>
      </c>
      <c r="G217" s="109" t="s">
        <v>226</v>
      </c>
      <c r="H217" s="111" t="s">
        <v>544</v>
      </c>
      <c r="I217" s="112"/>
      <c r="J217" s="113"/>
      <c r="K217" s="113"/>
      <c r="L217" s="113" t="s">
        <v>127</v>
      </c>
    </row>
    <row r="218" spans="1:12" ht="21.95" customHeight="1">
      <c r="B218" s="109">
        <v>10</v>
      </c>
      <c r="C218" s="109" t="s">
        <v>575</v>
      </c>
      <c r="D218" s="110" t="s">
        <v>576</v>
      </c>
      <c r="E218" s="109" t="s">
        <v>156</v>
      </c>
      <c r="F218" s="109" t="s">
        <v>157</v>
      </c>
      <c r="G218" s="109" t="s">
        <v>226</v>
      </c>
      <c r="H218" s="111" t="s">
        <v>147</v>
      </c>
      <c r="I218" s="114"/>
      <c r="J218" s="113" t="s">
        <v>127</v>
      </c>
      <c r="K218" s="113"/>
      <c r="L218" s="113" t="s">
        <v>127</v>
      </c>
    </row>
    <row r="219" spans="1:12" ht="21.95" customHeight="1">
      <c r="B219" s="109">
        <v>10</v>
      </c>
      <c r="C219" s="109" t="s">
        <v>577</v>
      </c>
      <c r="D219" s="110" t="s">
        <v>578</v>
      </c>
      <c r="E219" s="109" t="s">
        <v>156</v>
      </c>
      <c r="F219" s="109" t="s">
        <v>157</v>
      </c>
      <c r="G219" s="109" t="s">
        <v>226</v>
      </c>
      <c r="H219" s="111" t="s">
        <v>544</v>
      </c>
      <c r="I219" s="112"/>
      <c r="J219" s="113"/>
      <c r="K219" s="113"/>
      <c r="L219" s="113" t="s">
        <v>127</v>
      </c>
    </row>
    <row r="220" spans="1:12" ht="21.95" customHeight="1">
      <c r="B220" s="109">
        <v>10</v>
      </c>
      <c r="C220" s="109" t="s">
        <v>579</v>
      </c>
      <c r="D220" s="110" t="s">
        <v>580</v>
      </c>
      <c r="E220" s="109" t="s">
        <v>156</v>
      </c>
      <c r="F220" s="109" t="s">
        <v>157</v>
      </c>
      <c r="G220" s="109" t="s">
        <v>226</v>
      </c>
      <c r="H220" s="111" t="s">
        <v>147</v>
      </c>
      <c r="I220" s="114"/>
      <c r="J220" s="113" t="s">
        <v>127</v>
      </c>
      <c r="K220" s="113"/>
      <c r="L220" s="113" t="s">
        <v>127</v>
      </c>
    </row>
    <row r="221" spans="1:12" ht="21.95" customHeight="1">
      <c r="B221" s="109">
        <v>10</v>
      </c>
      <c r="C221" s="109" t="s">
        <v>581</v>
      </c>
      <c r="D221" s="110" t="s">
        <v>582</v>
      </c>
      <c r="E221" s="109" t="s">
        <v>156</v>
      </c>
      <c r="F221" s="109" t="s">
        <v>157</v>
      </c>
      <c r="G221" s="109" t="s">
        <v>226</v>
      </c>
      <c r="H221" s="111" t="s">
        <v>147</v>
      </c>
      <c r="I221" s="114"/>
      <c r="J221" s="113" t="s">
        <v>127</v>
      </c>
      <c r="K221" s="113"/>
      <c r="L221" s="113" t="s">
        <v>127</v>
      </c>
    </row>
    <row r="222" spans="1:12" ht="21.95" customHeight="1">
      <c r="B222" s="109">
        <v>10</v>
      </c>
      <c r="C222" s="109" t="s">
        <v>583</v>
      </c>
      <c r="D222" s="110" t="s">
        <v>584</v>
      </c>
      <c r="E222" s="109" t="s">
        <v>156</v>
      </c>
      <c r="F222" s="109" t="s">
        <v>157</v>
      </c>
      <c r="G222" s="109" t="s">
        <v>125</v>
      </c>
      <c r="H222" s="111" t="s">
        <v>147</v>
      </c>
      <c r="I222" s="122"/>
      <c r="J222" s="113" t="s">
        <v>127</v>
      </c>
      <c r="K222" s="123"/>
      <c r="L222" s="123" t="s">
        <v>127</v>
      </c>
    </row>
    <row r="223" spans="1:12" ht="21.95" customHeight="1">
      <c r="B223" s="109">
        <v>10</v>
      </c>
      <c r="C223" s="109" t="s">
        <v>585</v>
      </c>
      <c r="D223" s="110" t="s">
        <v>586</v>
      </c>
      <c r="E223" s="109" t="s">
        <v>156</v>
      </c>
      <c r="F223" s="109" t="s">
        <v>157</v>
      </c>
      <c r="G223" s="109" t="s">
        <v>226</v>
      </c>
      <c r="H223" s="111" t="s">
        <v>544</v>
      </c>
      <c r="I223" s="112"/>
      <c r="J223" s="113"/>
      <c r="K223" s="113"/>
      <c r="L223" s="113" t="s">
        <v>127</v>
      </c>
    </row>
    <row r="224" spans="1:12" ht="21.95" customHeight="1">
      <c r="B224" s="109">
        <v>10</v>
      </c>
      <c r="C224" s="109" t="s">
        <v>587</v>
      </c>
      <c r="D224" s="110" t="s">
        <v>588</v>
      </c>
      <c r="E224" s="109" t="s">
        <v>156</v>
      </c>
      <c r="F224" s="109" t="s">
        <v>157</v>
      </c>
      <c r="G224" s="109" t="s">
        <v>226</v>
      </c>
      <c r="H224" s="111" t="s">
        <v>544</v>
      </c>
      <c r="I224" s="112"/>
      <c r="J224" s="113"/>
      <c r="K224" s="113"/>
      <c r="L224" s="113" t="s">
        <v>127</v>
      </c>
    </row>
    <row r="225" spans="1:12" ht="21.95" customHeight="1">
      <c r="B225" s="115">
        <v>10.5</v>
      </c>
      <c r="C225" s="115"/>
      <c r="D225" s="103" t="s">
        <v>589</v>
      </c>
      <c r="E225" s="115"/>
      <c r="F225" s="115"/>
      <c r="G225" s="115"/>
      <c r="H225" s="115"/>
      <c r="I225" s="120"/>
      <c r="J225" s="115"/>
      <c r="K225" s="121"/>
      <c r="L225" s="119"/>
    </row>
    <row r="226" spans="1:12" ht="21.95" customHeight="1">
      <c r="B226" s="109">
        <v>11</v>
      </c>
      <c r="C226" s="109" t="s">
        <v>590</v>
      </c>
      <c r="D226" s="110" t="s">
        <v>591</v>
      </c>
      <c r="E226" s="109" t="s">
        <v>156</v>
      </c>
      <c r="F226" s="109" t="s">
        <v>525</v>
      </c>
      <c r="G226" s="109" t="s">
        <v>440</v>
      </c>
      <c r="H226" s="111" t="s">
        <v>147</v>
      </c>
      <c r="I226" s="114"/>
      <c r="J226" s="113" t="s">
        <v>127</v>
      </c>
      <c r="K226" s="113"/>
      <c r="L226" s="113" t="s">
        <v>127</v>
      </c>
    </row>
    <row r="227" spans="1:12" ht="21.95" customHeight="1">
      <c r="B227" s="109">
        <v>11</v>
      </c>
      <c r="C227" s="109">
        <v>4757</v>
      </c>
      <c r="D227" s="110" t="s">
        <v>592</v>
      </c>
      <c r="E227" s="109" t="s">
        <v>156</v>
      </c>
      <c r="F227" s="109" t="s">
        <v>157</v>
      </c>
      <c r="G227" s="109"/>
      <c r="H227" s="111" t="s">
        <v>147</v>
      </c>
      <c r="I227" s="114"/>
      <c r="J227" s="113" t="s">
        <v>127</v>
      </c>
      <c r="K227" s="113"/>
      <c r="L227" s="113" t="s">
        <v>127</v>
      </c>
    </row>
    <row r="228" spans="1:12" ht="21.95" customHeight="1">
      <c r="B228" s="109">
        <v>11</v>
      </c>
      <c r="C228" s="134">
        <v>4142</v>
      </c>
      <c r="D228" s="135" t="s">
        <v>593</v>
      </c>
      <c r="E228" s="109" t="s">
        <v>156</v>
      </c>
      <c r="F228" s="109" t="s">
        <v>157</v>
      </c>
      <c r="G228" s="109"/>
      <c r="H228" s="111" t="s">
        <v>147</v>
      </c>
      <c r="I228" s="136"/>
      <c r="J228" s="113" t="s">
        <v>127</v>
      </c>
      <c r="K228" s="128"/>
      <c r="L228" s="128" t="s">
        <v>127</v>
      </c>
    </row>
    <row r="229" spans="1:12" ht="21.95" customHeight="1">
      <c r="B229" s="109">
        <v>11</v>
      </c>
      <c r="C229" s="137" t="s">
        <v>594</v>
      </c>
      <c r="D229" s="127" t="s">
        <v>595</v>
      </c>
      <c r="E229" s="109" t="s">
        <v>156</v>
      </c>
      <c r="F229" s="109" t="s">
        <v>157</v>
      </c>
      <c r="G229" s="109"/>
      <c r="H229" s="111" t="s">
        <v>147</v>
      </c>
      <c r="I229" s="136"/>
      <c r="J229" s="113" t="s">
        <v>127</v>
      </c>
      <c r="K229" s="128"/>
      <c r="L229" s="128" t="s">
        <v>127</v>
      </c>
    </row>
    <row r="230" spans="1:12" ht="21.95" customHeight="1">
      <c r="B230" s="109">
        <v>11</v>
      </c>
      <c r="C230" s="138" t="s">
        <v>596</v>
      </c>
      <c r="D230" s="110" t="s">
        <v>597</v>
      </c>
      <c r="E230" s="109" t="s">
        <v>156</v>
      </c>
      <c r="F230" s="109" t="s">
        <v>157</v>
      </c>
      <c r="G230" s="109"/>
      <c r="H230" s="111" t="s">
        <v>147</v>
      </c>
      <c r="I230" s="139"/>
      <c r="J230" s="113" t="s">
        <v>127</v>
      </c>
      <c r="K230" s="129"/>
      <c r="L230" s="129" t="s">
        <v>127</v>
      </c>
    </row>
    <row r="231" spans="1:12" ht="21.95" customHeight="1">
      <c r="B231" s="109">
        <v>11</v>
      </c>
      <c r="C231" s="138" t="s">
        <v>598</v>
      </c>
      <c r="D231" s="110" t="s">
        <v>599</v>
      </c>
      <c r="E231" s="109" t="s">
        <v>156</v>
      </c>
      <c r="F231" s="109" t="s">
        <v>157</v>
      </c>
      <c r="G231" s="109"/>
      <c r="H231" s="111" t="s">
        <v>454</v>
      </c>
      <c r="I231" s="139"/>
      <c r="J231" s="113"/>
      <c r="K231" s="129"/>
      <c r="L231" s="129" t="s">
        <v>127</v>
      </c>
    </row>
    <row r="232" spans="1:12" ht="21.95" customHeight="1">
      <c r="B232" s="109">
        <v>11</v>
      </c>
      <c r="C232" s="109" t="s">
        <v>600</v>
      </c>
      <c r="D232" s="110" t="s">
        <v>601</v>
      </c>
      <c r="E232" s="109" t="s">
        <v>156</v>
      </c>
      <c r="F232" s="109" t="s">
        <v>157</v>
      </c>
      <c r="G232" s="109" t="s">
        <v>419</v>
      </c>
      <c r="H232" s="111" t="s">
        <v>147</v>
      </c>
      <c r="I232" s="114"/>
      <c r="J232" s="113" t="s">
        <v>127</v>
      </c>
      <c r="K232" s="113"/>
      <c r="L232" s="113" t="s">
        <v>127</v>
      </c>
    </row>
    <row r="233" spans="1:12" ht="21.95" customHeight="1">
      <c r="B233" s="109">
        <v>11</v>
      </c>
      <c r="C233" s="109" t="s">
        <v>602</v>
      </c>
      <c r="D233" s="110" t="s">
        <v>603</v>
      </c>
      <c r="E233" s="109" t="s">
        <v>156</v>
      </c>
      <c r="F233" s="109" t="s">
        <v>157</v>
      </c>
      <c r="G233" s="109" t="s">
        <v>419</v>
      </c>
      <c r="H233" s="111" t="s">
        <v>544</v>
      </c>
      <c r="I233" s="112"/>
      <c r="J233" s="113"/>
      <c r="K233" s="113"/>
      <c r="L233" s="113" t="s">
        <v>127</v>
      </c>
    </row>
    <row r="234" spans="1:12" ht="21.95" customHeight="1">
      <c r="B234" s="109">
        <v>11</v>
      </c>
      <c r="C234" s="109" t="s">
        <v>604</v>
      </c>
      <c r="D234" s="140" t="s">
        <v>605</v>
      </c>
      <c r="E234" s="109" t="s">
        <v>156</v>
      </c>
      <c r="F234" s="109" t="s">
        <v>157</v>
      </c>
      <c r="G234" s="109" t="s">
        <v>419</v>
      </c>
      <c r="H234" s="111" t="s">
        <v>147</v>
      </c>
      <c r="I234" s="114"/>
      <c r="J234" s="113" t="s">
        <v>127</v>
      </c>
      <c r="K234" s="113"/>
      <c r="L234" s="113" t="s">
        <v>127</v>
      </c>
    </row>
    <row r="235" spans="1:12" ht="21.95" customHeight="1">
      <c r="B235" s="109">
        <v>11</v>
      </c>
      <c r="C235" s="109" t="s">
        <v>606</v>
      </c>
      <c r="D235" s="110" t="s">
        <v>607</v>
      </c>
      <c r="E235" s="109" t="s">
        <v>156</v>
      </c>
      <c r="F235" s="109" t="s">
        <v>157</v>
      </c>
      <c r="G235" s="109" t="s">
        <v>125</v>
      </c>
      <c r="H235" s="111" t="s">
        <v>544</v>
      </c>
      <c r="I235" s="112"/>
      <c r="J235" s="113"/>
      <c r="K235" s="113"/>
      <c r="L235" s="113" t="s">
        <v>127</v>
      </c>
    </row>
    <row r="236" spans="1:12" ht="21.95" customHeight="1">
      <c r="B236" s="109">
        <v>11</v>
      </c>
      <c r="C236" s="109" t="s">
        <v>608</v>
      </c>
      <c r="D236" s="110" t="s">
        <v>609</v>
      </c>
      <c r="E236" s="109" t="s">
        <v>277</v>
      </c>
      <c r="F236" s="109" t="s">
        <v>469</v>
      </c>
      <c r="G236" s="109"/>
      <c r="H236" s="111" t="s">
        <v>147</v>
      </c>
      <c r="I236" s="114"/>
      <c r="J236" s="113" t="s">
        <v>127</v>
      </c>
      <c r="K236" s="113"/>
      <c r="L236" s="113" t="s">
        <v>127</v>
      </c>
    </row>
    <row r="237" spans="1:12" ht="21.95" customHeight="1">
      <c r="B237" s="109">
        <v>11</v>
      </c>
      <c r="C237" s="109" t="s">
        <v>610</v>
      </c>
      <c r="D237" s="110" t="s">
        <v>611</v>
      </c>
      <c r="E237" s="109" t="s">
        <v>156</v>
      </c>
      <c r="F237" s="109" t="s">
        <v>157</v>
      </c>
      <c r="G237" s="109" t="s">
        <v>125</v>
      </c>
      <c r="H237" s="111" t="s">
        <v>147</v>
      </c>
      <c r="I237" s="114"/>
      <c r="J237" s="113" t="s">
        <v>127</v>
      </c>
      <c r="K237" s="113"/>
      <c r="L237" s="113" t="s">
        <v>127</v>
      </c>
    </row>
    <row r="238" spans="1:12" ht="21.95" customHeight="1">
      <c r="A238" s="81" t="s">
        <v>168</v>
      </c>
      <c r="B238" s="109">
        <v>11</v>
      </c>
      <c r="C238" s="109" t="s">
        <v>612</v>
      </c>
      <c r="D238" s="110" t="s">
        <v>613</v>
      </c>
      <c r="E238" s="109" t="s">
        <v>156</v>
      </c>
      <c r="F238" s="109" t="s">
        <v>157</v>
      </c>
      <c r="G238" s="109" t="s">
        <v>419</v>
      </c>
      <c r="H238" s="111" t="s">
        <v>147</v>
      </c>
      <c r="I238" s="114"/>
      <c r="J238" s="113" t="s">
        <v>127</v>
      </c>
      <c r="K238" s="113"/>
      <c r="L238" s="113" t="s">
        <v>127</v>
      </c>
    </row>
    <row r="239" spans="1:12" ht="21.95" customHeight="1">
      <c r="A239" s="81" t="s">
        <v>168</v>
      </c>
      <c r="B239" s="109">
        <v>11</v>
      </c>
      <c r="C239" s="109" t="s">
        <v>614</v>
      </c>
      <c r="D239" s="110" t="s">
        <v>615</v>
      </c>
      <c r="E239" s="109" t="s">
        <v>156</v>
      </c>
      <c r="F239" s="109" t="s">
        <v>157</v>
      </c>
      <c r="G239" s="109" t="s">
        <v>419</v>
      </c>
      <c r="H239" s="111" t="s">
        <v>147</v>
      </c>
      <c r="I239" s="114"/>
      <c r="J239" s="113" t="s">
        <v>127</v>
      </c>
      <c r="K239" s="113"/>
      <c r="L239" s="113" t="s">
        <v>127</v>
      </c>
    </row>
    <row r="240" spans="1:12" ht="21.95" customHeight="1">
      <c r="B240" s="109">
        <v>11</v>
      </c>
      <c r="C240" s="109" t="s">
        <v>616</v>
      </c>
      <c r="D240" s="110" t="s">
        <v>617</v>
      </c>
      <c r="E240" s="109" t="s">
        <v>156</v>
      </c>
      <c r="F240" s="109" t="s">
        <v>157</v>
      </c>
      <c r="G240" s="109" t="s">
        <v>226</v>
      </c>
      <c r="H240" s="111" t="s">
        <v>454</v>
      </c>
      <c r="I240" s="112"/>
      <c r="J240" s="113"/>
      <c r="K240" s="113"/>
      <c r="L240" s="113" t="s">
        <v>127</v>
      </c>
    </row>
    <row r="241" spans="2:12" ht="21.95" customHeight="1">
      <c r="B241" s="109">
        <v>11</v>
      </c>
      <c r="C241" s="109" t="s">
        <v>618</v>
      </c>
      <c r="D241" s="110" t="s">
        <v>619</v>
      </c>
      <c r="E241" s="109" t="s">
        <v>156</v>
      </c>
      <c r="F241" s="109" t="s">
        <v>157</v>
      </c>
      <c r="G241" s="109" t="s">
        <v>226</v>
      </c>
      <c r="H241" s="111" t="s">
        <v>147</v>
      </c>
      <c r="I241" s="114"/>
      <c r="J241" s="113" t="s">
        <v>127</v>
      </c>
      <c r="K241" s="113"/>
      <c r="L241" s="113" t="s">
        <v>127</v>
      </c>
    </row>
    <row r="242" spans="2:12" ht="21.95" customHeight="1">
      <c r="B242" s="109">
        <v>11</v>
      </c>
      <c r="C242" s="109" t="s">
        <v>620</v>
      </c>
      <c r="D242" s="110" t="s">
        <v>621</v>
      </c>
      <c r="E242" s="109" t="s">
        <v>156</v>
      </c>
      <c r="F242" s="109" t="s">
        <v>157</v>
      </c>
      <c r="G242" s="109" t="s">
        <v>440</v>
      </c>
      <c r="H242" s="111" t="s">
        <v>147</v>
      </c>
      <c r="I242" s="114"/>
      <c r="J242" s="113" t="s">
        <v>127</v>
      </c>
      <c r="K242" s="113"/>
      <c r="L242" s="113" t="s">
        <v>127</v>
      </c>
    </row>
    <row r="243" spans="2:12" ht="21.95" customHeight="1">
      <c r="B243" s="109">
        <v>11</v>
      </c>
      <c r="C243" s="109" t="s">
        <v>622</v>
      </c>
      <c r="D243" s="110" t="s">
        <v>623</v>
      </c>
      <c r="E243" s="109" t="s">
        <v>156</v>
      </c>
      <c r="F243" s="109" t="s">
        <v>157</v>
      </c>
      <c r="G243" s="109"/>
      <c r="H243" s="111" t="s">
        <v>147</v>
      </c>
      <c r="I243" s="114"/>
      <c r="J243" s="113" t="s">
        <v>127</v>
      </c>
      <c r="K243" s="113"/>
      <c r="L243" s="113" t="s">
        <v>127</v>
      </c>
    </row>
    <row r="244" spans="2:12" ht="21.95" customHeight="1">
      <c r="B244" s="109">
        <v>11</v>
      </c>
      <c r="C244" s="109" t="s">
        <v>624</v>
      </c>
      <c r="D244" s="110" t="s">
        <v>625</v>
      </c>
      <c r="E244" s="109" t="s">
        <v>156</v>
      </c>
      <c r="F244" s="109" t="s">
        <v>157</v>
      </c>
      <c r="G244" s="109" t="s">
        <v>440</v>
      </c>
      <c r="H244" s="111" t="s">
        <v>147</v>
      </c>
      <c r="I244" s="114"/>
      <c r="J244" s="113" t="s">
        <v>127</v>
      </c>
      <c r="K244" s="113"/>
      <c r="L244" s="113" t="s">
        <v>127</v>
      </c>
    </row>
    <row r="245" spans="2:12" ht="21.95" customHeight="1">
      <c r="B245" s="109">
        <v>11</v>
      </c>
      <c r="C245" s="109" t="s">
        <v>626</v>
      </c>
      <c r="D245" s="110" t="s">
        <v>627</v>
      </c>
      <c r="E245" s="109" t="s">
        <v>156</v>
      </c>
      <c r="F245" s="109" t="s">
        <v>157</v>
      </c>
      <c r="G245" s="109" t="s">
        <v>440</v>
      </c>
      <c r="H245" s="111" t="s">
        <v>147</v>
      </c>
      <c r="I245" s="114"/>
      <c r="J245" s="113" t="s">
        <v>127</v>
      </c>
      <c r="K245" s="113"/>
      <c r="L245" s="113" t="s">
        <v>127</v>
      </c>
    </row>
    <row r="246" spans="2:12" ht="21.95" customHeight="1">
      <c r="B246" s="109">
        <v>11</v>
      </c>
      <c r="C246" s="109" t="s">
        <v>628</v>
      </c>
      <c r="D246" s="110" t="s">
        <v>629</v>
      </c>
      <c r="E246" s="109" t="s">
        <v>156</v>
      </c>
      <c r="F246" s="109" t="s">
        <v>157</v>
      </c>
      <c r="G246" s="109" t="s">
        <v>226</v>
      </c>
      <c r="H246" s="111" t="s">
        <v>147</v>
      </c>
      <c r="I246" s="114"/>
      <c r="J246" s="113" t="s">
        <v>127</v>
      </c>
      <c r="K246" s="113"/>
      <c r="L246" s="113" t="s">
        <v>127</v>
      </c>
    </row>
    <row r="247" spans="2:12" ht="21.95" customHeight="1">
      <c r="B247" s="109">
        <v>11</v>
      </c>
      <c r="C247" s="109" t="s">
        <v>630</v>
      </c>
      <c r="D247" s="110" t="s">
        <v>631</v>
      </c>
      <c r="E247" s="109" t="s">
        <v>156</v>
      </c>
      <c r="F247" s="109" t="s">
        <v>157</v>
      </c>
      <c r="G247" s="109"/>
      <c r="H247" s="111" t="s">
        <v>147</v>
      </c>
      <c r="I247" s="114"/>
      <c r="J247" s="113" t="s">
        <v>127</v>
      </c>
      <c r="K247" s="113"/>
      <c r="L247" s="113" t="s">
        <v>127</v>
      </c>
    </row>
    <row r="248" spans="2:12" ht="21.95" customHeight="1">
      <c r="B248" s="115">
        <v>11.5</v>
      </c>
      <c r="C248" s="115"/>
      <c r="D248" s="103" t="s">
        <v>632</v>
      </c>
      <c r="E248" s="115"/>
      <c r="F248" s="115"/>
      <c r="G248" s="115"/>
      <c r="H248" s="115"/>
      <c r="I248" s="120"/>
      <c r="J248" s="115"/>
      <c r="K248" s="121"/>
      <c r="L248" s="119"/>
    </row>
    <row r="249" spans="2:12" ht="21.95" customHeight="1">
      <c r="B249" s="109">
        <v>12</v>
      </c>
      <c r="C249" s="109" t="s">
        <v>633</v>
      </c>
      <c r="D249" s="110" t="s">
        <v>634</v>
      </c>
      <c r="E249" s="109" t="s">
        <v>635</v>
      </c>
      <c r="F249" s="109" t="s">
        <v>124</v>
      </c>
      <c r="G249" s="109" t="s">
        <v>125</v>
      </c>
      <c r="H249" s="111" t="s">
        <v>544</v>
      </c>
      <c r="I249" s="112"/>
      <c r="J249" s="113"/>
      <c r="K249" s="113"/>
      <c r="L249" s="113" t="s">
        <v>127</v>
      </c>
    </row>
    <row r="250" spans="2:12" ht="21.95" customHeight="1">
      <c r="B250" s="109">
        <v>12</v>
      </c>
      <c r="C250" s="109" t="s">
        <v>636</v>
      </c>
      <c r="D250" s="110" t="s">
        <v>637</v>
      </c>
      <c r="E250" s="109" t="s">
        <v>200</v>
      </c>
      <c r="F250" s="109" t="s">
        <v>124</v>
      </c>
      <c r="G250" s="109" t="s">
        <v>125</v>
      </c>
      <c r="H250" s="111" t="s">
        <v>147</v>
      </c>
      <c r="I250" s="114"/>
      <c r="J250" s="113" t="s">
        <v>127</v>
      </c>
      <c r="K250" s="113"/>
      <c r="L250" s="113" t="s">
        <v>127</v>
      </c>
    </row>
    <row r="251" spans="2:12" ht="21.95" customHeight="1">
      <c r="B251" s="109">
        <v>12</v>
      </c>
      <c r="C251" s="109" t="s">
        <v>638</v>
      </c>
      <c r="D251" s="110" t="s">
        <v>639</v>
      </c>
      <c r="E251" s="109" t="s">
        <v>191</v>
      </c>
      <c r="F251" s="109" t="s">
        <v>124</v>
      </c>
      <c r="G251" s="109" t="s">
        <v>125</v>
      </c>
      <c r="H251" s="111" t="s">
        <v>544</v>
      </c>
      <c r="I251" s="112"/>
      <c r="J251" s="113"/>
      <c r="K251" s="113"/>
      <c r="L251" s="113" t="s">
        <v>127</v>
      </c>
    </row>
    <row r="252" spans="2:12" ht="21.95" customHeight="1">
      <c r="B252" s="109">
        <v>12</v>
      </c>
      <c r="C252" s="109" t="s">
        <v>640</v>
      </c>
      <c r="D252" s="110" t="s">
        <v>641</v>
      </c>
      <c r="E252" s="109" t="s">
        <v>191</v>
      </c>
      <c r="F252" s="109" t="s">
        <v>124</v>
      </c>
      <c r="G252" s="109" t="s">
        <v>125</v>
      </c>
      <c r="H252" s="111" t="s">
        <v>544</v>
      </c>
      <c r="I252" s="112"/>
      <c r="J252" s="113"/>
      <c r="K252" s="113"/>
      <c r="L252" s="113" t="s">
        <v>127</v>
      </c>
    </row>
    <row r="253" spans="2:12" ht="21.95" customHeight="1">
      <c r="B253" s="109">
        <v>12</v>
      </c>
      <c r="C253" s="109">
        <v>4641</v>
      </c>
      <c r="D253" s="110" t="s">
        <v>642</v>
      </c>
      <c r="E253" s="109" t="s">
        <v>191</v>
      </c>
      <c r="F253" s="109" t="s">
        <v>124</v>
      </c>
      <c r="G253" s="109" t="s">
        <v>125</v>
      </c>
      <c r="H253" s="111" t="s">
        <v>544</v>
      </c>
      <c r="I253" s="112"/>
      <c r="J253" s="113"/>
      <c r="K253" s="113"/>
      <c r="L253" s="113" t="s">
        <v>127</v>
      </c>
    </row>
    <row r="254" spans="2:12" ht="21.95" customHeight="1">
      <c r="B254" s="109">
        <v>12</v>
      </c>
      <c r="C254" s="109" t="s">
        <v>643</v>
      </c>
      <c r="D254" s="110" t="s">
        <v>644</v>
      </c>
      <c r="E254" s="109" t="s">
        <v>191</v>
      </c>
      <c r="F254" s="109" t="s">
        <v>124</v>
      </c>
      <c r="G254" s="109" t="s">
        <v>125</v>
      </c>
      <c r="H254" s="111" t="s">
        <v>544</v>
      </c>
      <c r="I254" s="112"/>
      <c r="J254" s="113"/>
      <c r="K254" s="113"/>
      <c r="L254" s="113" t="s">
        <v>127</v>
      </c>
    </row>
    <row r="255" spans="2:12" ht="21.95" customHeight="1">
      <c r="B255" s="109">
        <v>12</v>
      </c>
      <c r="C255" s="109" t="s">
        <v>645</v>
      </c>
      <c r="D255" s="110" t="s">
        <v>646</v>
      </c>
      <c r="E255" s="109" t="s">
        <v>191</v>
      </c>
      <c r="F255" s="109" t="s">
        <v>192</v>
      </c>
      <c r="G255" s="109" t="s">
        <v>647</v>
      </c>
      <c r="H255" s="111" t="s">
        <v>454</v>
      </c>
      <c r="I255" s="112"/>
      <c r="J255" s="113"/>
      <c r="K255" s="113"/>
      <c r="L255" s="113" t="s">
        <v>127</v>
      </c>
    </row>
    <row r="256" spans="2:12" ht="21.95" customHeight="1">
      <c r="B256" s="109">
        <v>12</v>
      </c>
      <c r="C256" s="109" t="s">
        <v>648</v>
      </c>
      <c r="D256" s="110" t="s">
        <v>649</v>
      </c>
      <c r="E256" s="109" t="s">
        <v>191</v>
      </c>
      <c r="F256" s="109" t="s">
        <v>124</v>
      </c>
      <c r="G256" s="109" t="s">
        <v>125</v>
      </c>
      <c r="H256" s="111" t="s">
        <v>544</v>
      </c>
      <c r="I256" s="112"/>
      <c r="J256" s="113"/>
      <c r="K256" s="113"/>
      <c r="L256" s="113" t="s">
        <v>127</v>
      </c>
    </row>
    <row r="257" spans="1:12" ht="21.95" customHeight="1">
      <c r="B257" s="109">
        <v>12</v>
      </c>
      <c r="C257" s="109" t="s">
        <v>650</v>
      </c>
      <c r="D257" s="110" t="s">
        <v>651</v>
      </c>
      <c r="E257" s="109" t="s">
        <v>191</v>
      </c>
      <c r="F257" s="109" t="s">
        <v>124</v>
      </c>
      <c r="G257" s="109" t="s">
        <v>125</v>
      </c>
      <c r="H257" s="111" t="s">
        <v>544</v>
      </c>
      <c r="I257" s="112"/>
      <c r="J257" s="113"/>
      <c r="K257" s="113"/>
      <c r="L257" s="113" t="s">
        <v>127</v>
      </c>
    </row>
    <row r="258" spans="1:12" ht="21.95" customHeight="1">
      <c r="B258" s="109">
        <v>12</v>
      </c>
      <c r="C258" s="109" t="s">
        <v>652</v>
      </c>
      <c r="D258" s="110" t="s">
        <v>653</v>
      </c>
      <c r="E258" s="109" t="s">
        <v>191</v>
      </c>
      <c r="F258" s="109" t="s">
        <v>124</v>
      </c>
      <c r="G258" s="109" t="s">
        <v>205</v>
      </c>
      <c r="H258" s="111" t="s">
        <v>544</v>
      </c>
      <c r="I258" s="112"/>
      <c r="J258" s="113"/>
      <c r="K258" s="113"/>
      <c r="L258" s="113" t="s">
        <v>127</v>
      </c>
    </row>
    <row r="259" spans="1:12" ht="21.95" customHeight="1">
      <c r="B259" s="109">
        <v>12</v>
      </c>
      <c r="C259" s="109" t="s">
        <v>654</v>
      </c>
      <c r="D259" s="110" t="s">
        <v>655</v>
      </c>
      <c r="E259" s="109" t="s">
        <v>656</v>
      </c>
      <c r="F259" s="109" t="s">
        <v>124</v>
      </c>
      <c r="G259" s="109" t="s">
        <v>647</v>
      </c>
      <c r="H259" s="111" t="s">
        <v>544</v>
      </c>
      <c r="I259" s="112"/>
      <c r="J259" s="113"/>
      <c r="K259" s="113"/>
      <c r="L259" s="113" t="s">
        <v>127</v>
      </c>
    </row>
    <row r="260" spans="1:12" ht="21.95" customHeight="1">
      <c r="B260" s="109">
        <v>12</v>
      </c>
      <c r="C260" s="109" t="s">
        <v>657</v>
      </c>
      <c r="D260" s="110" t="s">
        <v>658</v>
      </c>
      <c r="E260" s="109" t="s">
        <v>659</v>
      </c>
      <c r="F260" s="109" t="s">
        <v>124</v>
      </c>
      <c r="G260" s="109" t="s">
        <v>647</v>
      </c>
      <c r="H260" s="111" t="s">
        <v>454</v>
      </c>
      <c r="I260" s="112"/>
      <c r="J260" s="113"/>
      <c r="K260" s="113"/>
      <c r="L260" s="113" t="s">
        <v>127</v>
      </c>
    </row>
    <row r="261" spans="1:12" ht="21.95" customHeight="1">
      <c r="A261" s="81" t="s">
        <v>168</v>
      </c>
      <c r="B261" s="109">
        <v>12</v>
      </c>
      <c r="C261" s="109" t="s">
        <v>660</v>
      </c>
      <c r="D261" s="110" t="s">
        <v>661</v>
      </c>
      <c r="E261" s="109" t="s">
        <v>662</v>
      </c>
      <c r="F261" s="109" t="s">
        <v>124</v>
      </c>
      <c r="G261" s="109" t="s">
        <v>419</v>
      </c>
      <c r="H261" s="111" t="s">
        <v>544</v>
      </c>
      <c r="I261" s="114"/>
      <c r="J261" s="113"/>
      <c r="K261" s="113"/>
      <c r="L261" s="113" t="s">
        <v>127</v>
      </c>
    </row>
    <row r="262" spans="1:12" ht="24" customHeight="1">
      <c r="B262" s="109">
        <v>12</v>
      </c>
      <c r="C262" s="109" t="s">
        <v>663</v>
      </c>
      <c r="D262" s="110" t="s">
        <v>664</v>
      </c>
      <c r="E262" s="109" t="s">
        <v>264</v>
      </c>
      <c r="F262" s="109" t="s">
        <v>124</v>
      </c>
      <c r="G262" s="109" t="s">
        <v>205</v>
      </c>
      <c r="H262" s="111" t="s">
        <v>544</v>
      </c>
      <c r="I262" s="114"/>
      <c r="J262" s="113"/>
      <c r="K262" s="113"/>
      <c r="L262" s="113" t="s">
        <v>127</v>
      </c>
    </row>
    <row r="263" spans="1:12" ht="21.95" customHeight="1">
      <c r="B263" s="109">
        <v>12</v>
      </c>
      <c r="C263" s="109" t="s">
        <v>665</v>
      </c>
      <c r="D263" s="110" t="s">
        <v>666</v>
      </c>
      <c r="E263" s="109" t="s">
        <v>191</v>
      </c>
      <c r="F263" s="109" t="s">
        <v>124</v>
      </c>
      <c r="G263" s="109" t="s">
        <v>125</v>
      </c>
      <c r="H263" s="111" t="s">
        <v>147</v>
      </c>
      <c r="I263" s="114"/>
      <c r="J263" s="113" t="s">
        <v>127</v>
      </c>
      <c r="K263" s="113"/>
      <c r="L263" s="113" t="s">
        <v>127</v>
      </c>
    </row>
    <row r="264" spans="1:12" ht="21.95" customHeight="1">
      <c r="B264" s="109">
        <v>12</v>
      </c>
      <c r="C264" s="109" t="s">
        <v>667</v>
      </c>
      <c r="D264" s="110" t="s">
        <v>668</v>
      </c>
      <c r="E264" s="109" t="s">
        <v>656</v>
      </c>
      <c r="F264" s="109" t="s">
        <v>124</v>
      </c>
      <c r="G264" s="109" t="s">
        <v>205</v>
      </c>
      <c r="H264" s="111" t="s">
        <v>544</v>
      </c>
      <c r="I264" s="112"/>
      <c r="J264" s="113"/>
      <c r="K264" s="113"/>
      <c r="L264" s="113" t="s">
        <v>127</v>
      </c>
    </row>
    <row r="265" spans="1:12" ht="21.95" customHeight="1">
      <c r="B265" s="109">
        <v>12</v>
      </c>
      <c r="C265" s="109" t="s">
        <v>669</v>
      </c>
      <c r="D265" s="110" t="s">
        <v>670</v>
      </c>
      <c r="E265" s="109" t="s">
        <v>656</v>
      </c>
      <c r="F265" s="109" t="s">
        <v>124</v>
      </c>
      <c r="G265" s="109" t="s">
        <v>226</v>
      </c>
      <c r="H265" s="111" t="s">
        <v>544</v>
      </c>
      <c r="I265" s="112"/>
      <c r="J265" s="113"/>
      <c r="K265" s="113"/>
      <c r="L265" s="113" t="s">
        <v>127</v>
      </c>
    </row>
    <row r="266" spans="1:12" ht="21.95" customHeight="1">
      <c r="B266" s="109">
        <v>12</v>
      </c>
      <c r="C266" s="109" t="s">
        <v>671</v>
      </c>
      <c r="D266" s="110" t="s">
        <v>672</v>
      </c>
      <c r="E266" s="109" t="s">
        <v>656</v>
      </c>
      <c r="F266" s="109" t="s">
        <v>124</v>
      </c>
      <c r="G266" s="109"/>
      <c r="H266" s="111" t="s">
        <v>544</v>
      </c>
      <c r="I266" s="112"/>
      <c r="J266" s="113"/>
      <c r="K266" s="113"/>
      <c r="L266" s="113" t="s">
        <v>127</v>
      </c>
    </row>
    <row r="267" spans="1:12" ht="21.95" customHeight="1">
      <c r="A267" s="81" t="s">
        <v>168</v>
      </c>
      <c r="B267" s="109">
        <v>12</v>
      </c>
      <c r="C267" s="109" t="s">
        <v>673</v>
      </c>
      <c r="D267" s="110" t="s">
        <v>674</v>
      </c>
      <c r="E267" s="141" t="s">
        <v>374</v>
      </c>
      <c r="F267" s="141"/>
      <c r="G267" s="109" t="s">
        <v>647</v>
      </c>
      <c r="H267" s="111" t="s">
        <v>147</v>
      </c>
      <c r="I267" s="114"/>
      <c r="J267" s="113"/>
      <c r="K267" s="113"/>
      <c r="L267" s="113" t="s">
        <v>127</v>
      </c>
    </row>
    <row r="268" spans="1:12" ht="21.95" customHeight="1">
      <c r="B268" s="115">
        <v>12.5</v>
      </c>
      <c r="C268" s="115"/>
      <c r="D268" s="103" t="s">
        <v>675</v>
      </c>
      <c r="E268" s="115"/>
      <c r="F268" s="115"/>
      <c r="G268" s="115"/>
      <c r="H268" s="115"/>
      <c r="I268" s="120"/>
      <c r="J268" s="115"/>
      <c r="K268" s="121"/>
      <c r="L268" s="119"/>
    </row>
    <row r="269" spans="1:12" ht="21.95" customHeight="1">
      <c r="B269" s="109">
        <v>13</v>
      </c>
      <c r="C269" s="109">
        <v>3505</v>
      </c>
      <c r="D269" s="110" t="s">
        <v>676</v>
      </c>
      <c r="E269" s="109" t="s">
        <v>200</v>
      </c>
      <c r="F269" s="109" t="s">
        <v>124</v>
      </c>
      <c r="G269" s="109"/>
      <c r="H269" s="111" t="s">
        <v>147</v>
      </c>
      <c r="I269" s="112"/>
      <c r="J269" s="113" t="s">
        <v>127</v>
      </c>
      <c r="K269" s="113"/>
      <c r="L269" s="113" t="s">
        <v>127</v>
      </c>
    </row>
    <row r="270" spans="1:12" ht="21.95" customHeight="1">
      <c r="B270" s="109">
        <v>13</v>
      </c>
      <c r="C270" s="109">
        <v>3517</v>
      </c>
      <c r="D270" s="110" t="s">
        <v>677</v>
      </c>
      <c r="E270" s="109" t="s">
        <v>200</v>
      </c>
      <c r="F270" s="109" t="s">
        <v>124</v>
      </c>
      <c r="G270" s="109"/>
      <c r="H270" s="111" t="s">
        <v>147</v>
      </c>
      <c r="I270" s="112"/>
      <c r="J270" s="113" t="s">
        <v>127</v>
      </c>
      <c r="K270" s="113"/>
      <c r="L270" s="113" t="s">
        <v>127</v>
      </c>
    </row>
    <row r="271" spans="1:12" ht="21.95" customHeight="1">
      <c r="B271" s="109">
        <v>13</v>
      </c>
      <c r="C271" s="109">
        <v>3515</v>
      </c>
      <c r="D271" s="110" t="s">
        <v>678</v>
      </c>
      <c r="E271" s="109" t="s">
        <v>200</v>
      </c>
      <c r="F271" s="109" t="s">
        <v>124</v>
      </c>
      <c r="G271" s="109"/>
      <c r="H271" s="111" t="s">
        <v>147</v>
      </c>
      <c r="I271" s="112"/>
      <c r="J271" s="113" t="s">
        <v>127</v>
      </c>
      <c r="K271" s="113"/>
      <c r="L271" s="113" t="s">
        <v>127</v>
      </c>
    </row>
    <row r="272" spans="1:12" ht="21.95" customHeight="1">
      <c r="B272" s="109">
        <v>13</v>
      </c>
      <c r="C272" s="109">
        <v>3516</v>
      </c>
      <c r="D272" s="110" t="s">
        <v>679</v>
      </c>
      <c r="E272" s="109" t="s">
        <v>200</v>
      </c>
      <c r="F272" s="109" t="s">
        <v>124</v>
      </c>
      <c r="G272" s="109"/>
      <c r="H272" s="111" t="s">
        <v>147</v>
      </c>
      <c r="I272" s="112"/>
      <c r="J272" s="113" t="s">
        <v>127</v>
      </c>
      <c r="K272" s="113"/>
      <c r="L272" s="113" t="s">
        <v>127</v>
      </c>
    </row>
    <row r="273" spans="2:12" ht="21.95" customHeight="1">
      <c r="B273" s="109">
        <v>13</v>
      </c>
      <c r="C273" s="109" t="s">
        <v>680</v>
      </c>
      <c r="D273" s="110" t="s">
        <v>681</v>
      </c>
      <c r="E273" s="109" t="s">
        <v>200</v>
      </c>
      <c r="F273" s="109" t="s">
        <v>124</v>
      </c>
      <c r="G273" s="109"/>
      <c r="H273" s="111" t="s">
        <v>147</v>
      </c>
      <c r="I273" s="112"/>
      <c r="J273" s="113" t="s">
        <v>127</v>
      </c>
      <c r="K273" s="113"/>
      <c r="L273" s="113" t="s">
        <v>127</v>
      </c>
    </row>
    <row r="274" spans="2:12" ht="21.95" customHeight="1">
      <c r="B274" s="109">
        <v>13</v>
      </c>
      <c r="C274" s="109">
        <v>3509</v>
      </c>
      <c r="D274" s="110" t="s">
        <v>682</v>
      </c>
      <c r="E274" s="109" t="s">
        <v>200</v>
      </c>
      <c r="F274" s="109" t="s">
        <v>124</v>
      </c>
      <c r="G274" s="109" t="s">
        <v>647</v>
      </c>
      <c r="H274" s="111" t="s">
        <v>147</v>
      </c>
      <c r="I274" s="112"/>
      <c r="J274" s="113" t="s">
        <v>127</v>
      </c>
      <c r="K274" s="113"/>
      <c r="L274" s="113" t="s">
        <v>127</v>
      </c>
    </row>
    <row r="275" spans="2:12" ht="21.95" customHeight="1">
      <c r="B275" s="109">
        <v>13</v>
      </c>
      <c r="C275" s="109" t="s">
        <v>683</v>
      </c>
      <c r="D275" s="110" t="s">
        <v>684</v>
      </c>
      <c r="E275" s="109" t="s">
        <v>200</v>
      </c>
      <c r="F275" s="109" t="s">
        <v>124</v>
      </c>
      <c r="G275" s="109" t="s">
        <v>647</v>
      </c>
      <c r="H275" s="111" t="s">
        <v>147</v>
      </c>
      <c r="I275" s="112"/>
      <c r="J275" s="113" t="s">
        <v>127</v>
      </c>
      <c r="K275" s="113"/>
      <c r="L275" s="113" t="s">
        <v>127</v>
      </c>
    </row>
    <row r="276" spans="2:12" ht="21.95" customHeight="1">
      <c r="B276" s="115">
        <v>13.5</v>
      </c>
      <c r="C276" s="115"/>
      <c r="D276" s="103" t="s">
        <v>685</v>
      </c>
      <c r="E276" s="115"/>
      <c r="F276" s="115"/>
      <c r="G276" s="115"/>
      <c r="H276" s="115"/>
      <c r="I276" s="120"/>
      <c r="J276" s="115"/>
      <c r="K276" s="121"/>
      <c r="L276" s="119"/>
    </row>
    <row r="277" spans="2:12" ht="21.95" customHeight="1">
      <c r="B277" s="115"/>
      <c r="C277" s="115"/>
      <c r="D277" s="103" t="s">
        <v>686</v>
      </c>
      <c r="E277" s="115"/>
      <c r="F277" s="115"/>
      <c r="G277" s="115"/>
      <c r="H277" s="115"/>
      <c r="I277" s="120"/>
      <c r="J277" s="115"/>
      <c r="K277" s="121"/>
      <c r="L277" s="119"/>
    </row>
    <row r="278" spans="2:12" ht="21.95" customHeight="1">
      <c r="B278" s="109">
        <v>14</v>
      </c>
      <c r="C278" s="109" t="s">
        <v>687</v>
      </c>
      <c r="D278" s="110" t="s">
        <v>688</v>
      </c>
      <c r="E278" s="109" t="s">
        <v>191</v>
      </c>
      <c r="F278" s="109" t="s">
        <v>192</v>
      </c>
      <c r="G278" s="109"/>
      <c r="H278" s="111" t="s">
        <v>147</v>
      </c>
      <c r="I278" s="114"/>
      <c r="J278" s="113" t="s">
        <v>127</v>
      </c>
      <c r="K278" s="113"/>
      <c r="L278" s="113" t="s">
        <v>127</v>
      </c>
    </row>
    <row r="279" spans="2:12" ht="21.95" customHeight="1">
      <c r="B279" s="109">
        <v>14</v>
      </c>
      <c r="C279" s="109" t="s">
        <v>689</v>
      </c>
      <c r="D279" s="110" t="s">
        <v>690</v>
      </c>
      <c r="E279" s="109" t="s">
        <v>191</v>
      </c>
      <c r="F279" s="109" t="s">
        <v>192</v>
      </c>
      <c r="G279" s="109"/>
      <c r="H279" s="111" t="s">
        <v>147</v>
      </c>
      <c r="I279" s="114"/>
      <c r="J279" s="113" t="s">
        <v>127</v>
      </c>
      <c r="K279" s="113"/>
      <c r="L279" s="113" t="s">
        <v>127</v>
      </c>
    </row>
    <row r="280" spans="2:12" ht="21.95" customHeight="1">
      <c r="B280" s="109">
        <v>14</v>
      </c>
      <c r="C280" s="109" t="s">
        <v>691</v>
      </c>
      <c r="D280" s="110" t="s">
        <v>692</v>
      </c>
      <c r="E280" s="109" t="s">
        <v>693</v>
      </c>
      <c r="F280" s="109" t="s">
        <v>157</v>
      </c>
      <c r="G280" s="109" t="s">
        <v>166</v>
      </c>
      <c r="H280" s="111" t="s">
        <v>147</v>
      </c>
      <c r="I280" s="114"/>
      <c r="J280" s="113" t="s">
        <v>127</v>
      </c>
      <c r="K280" s="113"/>
      <c r="L280" s="113" t="s">
        <v>127</v>
      </c>
    </row>
    <row r="281" spans="2:12" ht="21.95" customHeight="1">
      <c r="B281" s="115"/>
      <c r="C281" s="115"/>
      <c r="D281" s="103" t="s">
        <v>694</v>
      </c>
      <c r="E281" s="115"/>
      <c r="F281" s="115"/>
      <c r="G281" s="115"/>
      <c r="H281" s="115"/>
      <c r="I281" s="120"/>
      <c r="J281" s="115"/>
      <c r="K281" s="121"/>
      <c r="L281" s="119"/>
    </row>
    <row r="282" spans="2:12" ht="21.95" customHeight="1">
      <c r="B282" s="109">
        <v>14</v>
      </c>
      <c r="C282" s="109" t="s">
        <v>695</v>
      </c>
      <c r="D282" s="110" t="s">
        <v>696</v>
      </c>
      <c r="E282" s="109" t="s">
        <v>191</v>
      </c>
      <c r="F282" s="109" t="s">
        <v>192</v>
      </c>
      <c r="G282" s="109"/>
      <c r="H282" s="111" t="s">
        <v>147</v>
      </c>
      <c r="I282" s="114"/>
      <c r="J282" s="113" t="s">
        <v>127</v>
      </c>
      <c r="K282" s="113"/>
      <c r="L282" s="113" t="s">
        <v>127</v>
      </c>
    </row>
    <row r="283" spans="2:12" ht="21.95" customHeight="1">
      <c r="B283" s="109">
        <v>14</v>
      </c>
      <c r="C283" s="109" t="s">
        <v>697</v>
      </c>
      <c r="D283" s="110" t="s">
        <v>698</v>
      </c>
      <c r="E283" s="109" t="s">
        <v>191</v>
      </c>
      <c r="F283" s="109" t="s">
        <v>192</v>
      </c>
      <c r="G283" s="109"/>
      <c r="H283" s="111" t="s">
        <v>147</v>
      </c>
      <c r="I283" s="114"/>
      <c r="J283" s="113" t="s">
        <v>127</v>
      </c>
      <c r="K283" s="113"/>
      <c r="L283" s="113" t="s">
        <v>127</v>
      </c>
    </row>
    <row r="284" spans="2:12" ht="21.95" customHeight="1">
      <c r="B284" s="115"/>
      <c r="C284" s="115"/>
      <c r="D284" s="103" t="s">
        <v>699</v>
      </c>
      <c r="E284" s="115"/>
      <c r="F284" s="115"/>
      <c r="G284" s="115"/>
      <c r="H284" s="115"/>
      <c r="I284" s="120"/>
      <c r="J284" s="115"/>
      <c r="K284" s="121"/>
      <c r="L284" s="119"/>
    </row>
    <row r="285" spans="2:12" ht="21.95" customHeight="1">
      <c r="B285" s="109">
        <v>14</v>
      </c>
      <c r="C285" s="109">
        <v>7516</v>
      </c>
      <c r="D285" s="110" t="s">
        <v>700</v>
      </c>
      <c r="E285" s="109" t="s">
        <v>191</v>
      </c>
      <c r="F285" s="109" t="s">
        <v>192</v>
      </c>
      <c r="G285" s="109"/>
      <c r="H285" s="111" t="s">
        <v>147</v>
      </c>
      <c r="I285" s="114"/>
      <c r="J285" s="113" t="s">
        <v>127</v>
      </c>
      <c r="K285" s="113"/>
      <c r="L285" s="113" t="s">
        <v>127</v>
      </c>
    </row>
    <row r="286" spans="2:12" ht="21.95" customHeight="1">
      <c r="B286" s="109">
        <v>14</v>
      </c>
      <c r="C286" s="109">
        <v>7517</v>
      </c>
      <c r="D286" s="110" t="s">
        <v>701</v>
      </c>
      <c r="E286" s="109" t="s">
        <v>191</v>
      </c>
      <c r="F286" s="109" t="s">
        <v>192</v>
      </c>
      <c r="G286" s="109"/>
      <c r="H286" s="111" t="s">
        <v>147</v>
      </c>
      <c r="I286" s="114"/>
      <c r="J286" s="113" t="s">
        <v>127</v>
      </c>
      <c r="K286" s="113"/>
      <c r="L286" s="113" t="s">
        <v>127</v>
      </c>
    </row>
    <row r="287" spans="2:12" ht="21.95" customHeight="1">
      <c r="B287" s="109">
        <v>14</v>
      </c>
      <c r="C287" s="109" t="s">
        <v>702</v>
      </c>
      <c r="D287" s="110" t="s">
        <v>703</v>
      </c>
      <c r="E287" s="109" t="s">
        <v>191</v>
      </c>
      <c r="F287" s="109" t="s">
        <v>192</v>
      </c>
      <c r="G287" s="109"/>
      <c r="H287" s="111" t="s">
        <v>147</v>
      </c>
      <c r="I287" s="112"/>
      <c r="J287" s="113" t="s">
        <v>127</v>
      </c>
      <c r="K287" s="113"/>
      <c r="L287" s="113" t="s">
        <v>127</v>
      </c>
    </row>
    <row r="288" spans="2:12" ht="21.95" customHeight="1">
      <c r="B288" s="109">
        <v>14</v>
      </c>
      <c r="C288" s="109">
        <v>7518</v>
      </c>
      <c r="D288" s="110" t="s">
        <v>704</v>
      </c>
      <c r="E288" s="109" t="s">
        <v>191</v>
      </c>
      <c r="F288" s="109" t="s">
        <v>192</v>
      </c>
      <c r="G288" s="109"/>
      <c r="H288" s="111" t="s">
        <v>147</v>
      </c>
      <c r="I288" s="114"/>
      <c r="J288" s="113" t="s">
        <v>127</v>
      </c>
      <c r="K288" s="113"/>
      <c r="L288" s="113" t="s">
        <v>127</v>
      </c>
    </row>
    <row r="289" spans="2:12" ht="21.95" customHeight="1">
      <c r="B289" s="109">
        <v>14</v>
      </c>
      <c r="C289" s="109" t="s">
        <v>705</v>
      </c>
      <c r="D289" s="110" t="s">
        <v>706</v>
      </c>
      <c r="E289" s="109" t="s">
        <v>191</v>
      </c>
      <c r="F289" s="109" t="s">
        <v>192</v>
      </c>
      <c r="G289" s="109"/>
      <c r="H289" s="111" t="s">
        <v>147</v>
      </c>
      <c r="I289" s="112"/>
      <c r="J289" s="113" t="s">
        <v>127</v>
      </c>
      <c r="K289" s="113"/>
      <c r="L289" s="113" t="s">
        <v>127</v>
      </c>
    </row>
    <row r="290" spans="2:12" ht="21.95" customHeight="1">
      <c r="B290" s="109">
        <v>14</v>
      </c>
      <c r="C290" s="109" t="s">
        <v>707</v>
      </c>
      <c r="D290" s="110" t="s">
        <v>708</v>
      </c>
      <c r="E290" s="109" t="s">
        <v>709</v>
      </c>
      <c r="F290" s="109" t="s">
        <v>710</v>
      </c>
      <c r="G290" s="109"/>
      <c r="H290" s="111" t="s">
        <v>544</v>
      </c>
      <c r="I290" s="112"/>
      <c r="J290" s="113"/>
      <c r="K290" s="113"/>
      <c r="L290" s="113" t="s">
        <v>127</v>
      </c>
    </row>
    <row r="291" spans="2:12" ht="21.95" customHeight="1">
      <c r="B291" s="115">
        <v>14.5</v>
      </c>
      <c r="C291" s="115"/>
      <c r="D291" s="103" t="s">
        <v>711</v>
      </c>
      <c r="E291" s="115"/>
      <c r="F291" s="115"/>
      <c r="G291" s="115"/>
      <c r="H291" s="115"/>
      <c r="I291" s="120"/>
      <c r="J291" s="115"/>
      <c r="K291" s="121"/>
      <c r="L291" s="119"/>
    </row>
    <row r="292" spans="2:12" ht="21.95" customHeight="1">
      <c r="B292" s="109">
        <v>15</v>
      </c>
      <c r="C292" s="109" t="s">
        <v>712</v>
      </c>
      <c r="D292" s="110" t="s">
        <v>713</v>
      </c>
      <c r="E292" s="109" t="s">
        <v>191</v>
      </c>
      <c r="F292" s="109" t="s">
        <v>192</v>
      </c>
      <c r="G292" s="109" t="s">
        <v>166</v>
      </c>
      <c r="H292" s="111" t="s">
        <v>544</v>
      </c>
      <c r="I292" s="112"/>
      <c r="J292" s="113"/>
      <c r="K292" s="113"/>
      <c r="L292" s="113" t="s">
        <v>127</v>
      </c>
    </row>
    <row r="293" spans="2:12" ht="21.95" customHeight="1">
      <c r="B293" s="109">
        <v>15</v>
      </c>
      <c r="C293" s="109" t="s">
        <v>714</v>
      </c>
      <c r="D293" s="110" t="s">
        <v>715</v>
      </c>
      <c r="E293" s="109" t="s">
        <v>170</v>
      </c>
      <c r="F293" s="109" t="s">
        <v>124</v>
      </c>
      <c r="G293" s="109" t="s">
        <v>166</v>
      </c>
      <c r="H293" s="111" t="s">
        <v>544</v>
      </c>
      <c r="I293" s="112"/>
      <c r="J293" s="113"/>
      <c r="K293" s="113"/>
      <c r="L293" s="113" t="s">
        <v>127</v>
      </c>
    </row>
    <row r="294" spans="2:12" ht="21.95" customHeight="1">
      <c r="B294" s="109">
        <v>15</v>
      </c>
      <c r="C294" s="109" t="s">
        <v>716</v>
      </c>
      <c r="D294" s="110" t="s">
        <v>717</v>
      </c>
      <c r="E294" s="109" t="s">
        <v>170</v>
      </c>
      <c r="F294" s="109" t="s">
        <v>124</v>
      </c>
      <c r="G294" s="109" t="s">
        <v>166</v>
      </c>
      <c r="H294" s="111" t="s">
        <v>544</v>
      </c>
      <c r="I294" s="112"/>
      <c r="J294" s="113"/>
      <c r="K294" s="113"/>
      <c r="L294" s="113" t="s">
        <v>127</v>
      </c>
    </row>
    <row r="295" spans="2:12" ht="21.95" customHeight="1">
      <c r="B295" s="109">
        <v>15</v>
      </c>
      <c r="C295" s="109" t="s">
        <v>718</v>
      </c>
      <c r="D295" s="110" t="s">
        <v>719</v>
      </c>
      <c r="E295" s="109" t="s">
        <v>170</v>
      </c>
      <c r="F295" s="109" t="s">
        <v>124</v>
      </c>
      <c r="G295" s="109" t="s">
        <v>166</v>
      </c>
      <c r="H295" s="111" t="s">
        <v>544</v>
      </c>
      <c r="I295" s="112"/>
      <c r="J295" s="113"/>
      <c r="K295" s="113"/>
      <c r="L295" s="113" t="s">
        <v>127</v>
      </c>
    </row>
    <row r="296" spans="2:12" ht="21.95" customHeight="1">
      <c r="B296" s="109">
        <v>15</v>
      </c>
      <c r="C296" s="109" t="s">
        <v>720</v>
      </c>
      <c r="D296" s="110" t="s">
        <v>721</v>
      </c>
      <c r="E296" s="109" t="s">
        <v>191</v>
      </c>
      <c r="F296" s="109" t="s">
        <v>192</v>
      </c>
      <c r="G296" s="109"/>
      <c r="H296" s="111" t="s">
        <v>147</v>
      </c>
      <c r="I296" s="114"/>
      <c r="J296" s="113" t="s">
        <v>127</v>
      </c>
      <c r="K296" s="113"/>
      <c r="L296" s="113" t="s">
        <v>127</v>
      </c>
    </row>
    <row r="297" spans="2:12" ht="21.95" customHeight="1">
      <c r="B297" s="109">
        <v>15</v>
      </c>
      <c r="C297" s="109" t="s">
        <v>722</v>
      </c>
      <c r="D297" s="110" t="s">
        <v>723</v>
      </c>
      <c r="E297" s="109" t="s">
        <v>191</v>
      </c>
      <c r="F297" s="109" t="s">
        <v>192</v>
      </c>
      <c r="G297" s="109"/>
      <c r="H297" s="111" t="s">
        <v>147</v>
      </c>
      <c r="I297" s="114"/>
      <c r="J297" s="113" t="s">
        <v>127</v>
      </c>
      <c r="K297" s="113"/>
      <c r="L297" s="113" t="s">
        <v>127</v>
      </c>
    </row>
    <row r="298" spans="2:12" ht="21.95" customHeight="1">
      <c r="B298" s="109">
        <v>15</v>
      </c>
      <c r="C298" s="109" t="s">
        <v>724</v>
      </c>
      <c r="D298" s="110" t="s">
        <v>725</v>
      </c>
      <c r="E298" s="109" t="s">
        <v>191</v>
      </c>
      <c r="F298" s="109" t="s">
        <v>192</v>
      </c>
      <c r="G298" s="109"/>
      <c r="H298" s="111" t="s">
        <v>147</v>
      </c>
      <c r="I298" s="114"/>
      <c r="J298" s="113" t="s">
        <v>127</v>
      </c>
      <c r="K298" s="113"/>
      <c r="L298" s="113" t="s">
        <v>127</v>
      </c>
    </row>
    <row r="299" spans="2:12" ht="21.95" customHeight="1">
      <c r="B299" s="109">
        <v>15</v>
      </c>
      <c r="C299" s="109" t="s">
        <v>726</v>
      </c>
      <c r="D299" s="110" t="s">
        <v>727</v>
      </c>
      <c r="E299" s="109" t="s">
        <v>728</v>
      </c>
      <c r="F299" s="109" t="s">
        <v>729</v>
      </c>
      <c r="G299" s="109"/>
      <c r="H299" s="111" t="s">
        <v>126</v>
      </c>
      <c r="I299" s="112"/>
      <c r="J299" s="113"/>
      <c r="K299" s="113"/>
      <c r="L299" s="113" t="s">
        <v>127</v>
      </c>
    </row>
    <row r="300" spans="2:12" ht="21.95" customHeight="1">
      <c r="B300" s="109">
        <v>15</v>
      </c>
      <c r="C300" s="109" t="s">
        <v>730</v>
      </c>
      <c r="D300" s="110" t="s">
        <v>731</v>
      </c>
      <c r="E300" s="109" t="s">
        <v>191</v>
      </c>
      <c r="F300" s="109" t="s">
        <v>192</v>
      </c>
      <c r="G300" s="109"/>
      <c r="H300" s="111" t="s">
        <v>147</v>
      </c>
      <c r="I300" s="114"/>
      <c r="J300" s="113" t="s">
        <v>127</v>
      </c>
      <c r="K300" s="113"/>
      <c r="L300" s="113" t="s">
        <v>127</v>
      </c>
    </row>
    <row r="301" spans="2:12" ht="21.95" customHeight="1">
      <c r="B301" s="109">
        <v>15</v>
      </c>
      <c r="C301" s="109" t="s">
        <v>732</v>
      </c>
      <c r="D301" s="110" t="s">
        <v>733</v>
      </c>
      <c r="E301" s="109" t="s">
        <v>277</v>
      </c>
      <c r="F301" s="109" t="s">
        <v>469</v>
      </c>
      <c r="G301" s="109"/>
      <c r="H301" s="111" t="s">
        <v>147</v>
      </c>
      <c r="I301" s="114"/>
      <c r="J301" s="113" t="s">
        <v>127</v>
      </c>
      <c r="K301" s="113"/>
      <c r="L301" s="113" t="s">
        <v>127</v>
      </c>
    </row>
    <row r="302" spans="2:12" ht="21.95" customHeight="1">
      <c r="B302" s="109">
        <v>15</v>
      </c>
      <c r="C302" s="109" t="s">
        <v>734</v>
      </c>
      <c r="D302" s="110" t="s">
        <v>735</v>
      </c>
      <c r="E302" s="109" t="s">
        <v>736</v>
      </c>
      <c r="F302" s="109" t="s">
        <v>469</v>
      </c>
      <c r="G302" s="109"/>
      <c r="H302" s="111" t="s">
        <v>126</v>
      </c>
      <c r="I302" s="114"/>
      <c r="J302" s="113"/>
      <c r="K302" s="113"/>
      <c r="L302" s="113" t="s">
        <v>127</v>
      </c>
    </row>
    <row r="303" spans="2:12" ht="21.95" customHeight="1">
      <c r="B303" s="109">
        <v>15</v>
      </c>
      <c r="C303" s="109" t="s">
        <v>737</v>
      </c>
      <c r="D303" s="110" t="s">
        <v>738</v>
      </c>
      <c r="E303" s="109" t="s">
        <v>277</v>
      </c>
      <c r="F303" s="109" t="s">
        <v>469</v>
      </c>
      <c r="G303" s="109" t="s">
        <v>166</v>
      </c>
      <c r="H303" s="111" t="s">
        <v>147</v>
      </c>
      <c r="I303" s="114"/>
      <c r="J303" s="113" t="s">
        <v>127</v>
      </c>
      <c r="K303" s="113"/>
      <c r="L303" s="113" t="s">
        <v>127</v>
      </c>
    </row>
    <row r="304" spans="2:12" ht="21.95" customHeight="1">
      <c r="B304" s="109">
        <v>15</v>
      </c>
      <c r="C304" s="109" t="s">
        <v>739</v>
      </c>
      <c r="D304" s="110" t="s">
        <v>740</v>
      </c>
      <c r="E304" s="109" t="s">
        <v>741</v>
      </c>
      <c r="F304" s="109" t="s">
        <v>742</v>
      </c>
      <c r="G304" s="109" t="s">
        <v>166</v>
      </c>
      <c r="H304" s="111" t="s">
        <v>147</v>
      </c>
      <c r="I304" s="112"/>
      <c r="J304" s="113" t="s">
        <v>127</v>
      </c>
      <c r="K304" s="129"/>
      <c r="L304" s="129" t="s">
        <v>127</v>
      </c>
    </row>
    <row r="305" spans="2:12" ht="21.95" customHeight="1">
      <c r="B305" s="109">
        <v>15</v>
      </c>
      <c r="C305" s="109" t="s">
        <v>743</v>
      </c>
      <c r="D305" s="110" t="s">
        <v>744</v>
      </c>
      <c r="E305" s="109" t="s">
        <v>277</v>
      </c>
      <c r="F305" s="109" t="s">
        <v>469</v>
      </c>
      <c r="G305" s="109" t="s">
        <v>209</v>
      </c>
      <c r="H305" s="111" t="s">
        <v>147</v>
      </c>
      <c r="I305" s="114"/>
      <c r="J305" s="113" t="s">
        <v>127</v>
      </c>
      <c r="K305" s="113"/>
      <c r="L305" s="113" t="s">
        <v>127</v>
      </c>
    </row>
    <row r="306" spans="2:12" ht="21.95" customHeight="1">
      <c r="B306" s="109">
        <v>15</v>
      </c>
      <c r="C306" s="109" t="s">
        <v>745</v>
      </c>
      <c r="D306" s="110" t="s">
        <v>746</v>
      </c>
      <c r="E306" s="109" t="s">
        <v>277</v>
      </c>
      <c r="F306" s="109" t="s">
        <v>469</v>
      </c>
      <c r="G306" s="109"/>
      <c r="H306" s="111" t="s">
        <v>147</v>
      </c>
      <c r="I306" s="114"/>
      <c r="J306" s="113" t="s">
        <v>127</v>
      </c>
      <c r="K306" s="113"/>
      <c r="L306" s="113" t="s">
        <v>127</v>
      </c>
    </row>
    <row r="307" spans="2:12" ht="21.95" customHeight="1">
      <c r="B307" s="109">
        <v>15</v>
      </c>
      <c r="C307" s="109" t="s">
        <v>747</v>
      </c>
      <c r="D307" s="127" t="s">
        <v>748</v>
      </c>
      <c r="E307" s="109" t="s">
        <v>277</v>
      </c>
      <c r="F307" s="109" t="s">
        <v>469</v>
      </c>
      <c r="G307" s="109"/>
      <c r="H307" s="111" t="s">
        <v>147</v>
      </c>
      <c r="I307" s="114"/>
      <c r="J307" s="113" t="s">
        <v>127</v>
      </c>
      <c r="K307" s="128"/>
      <c r="L307" s="128" t="s">
        <v>127</v>
      </c>
    </row>
    <row r="308" spans="2:12" ht="21.95" customHeight="1">
      <c r="B308" s="109">
        <v>15</v>
      </c>
      <c r="C308" s="109" t="s">
        <v>749</v>
      </c>
      <c r="D308" s="110" t="s">
        <v>750</v>
      </c>
      <c r="E308" s="109" t="s">
        <v>191</v>
      </c>
      <c r="F308" s="109" t="s">
        <v>192</v>
      </c>
      <c r="G308" s="109" t="s">
        <v>166</v>
      </c>
      <c r="H308" s="111" t="s">
        <v>147</v>
      </c>
      <c r="I308" s="114"/>
      <c r="J308" s="113" t="s">
        <v>127</v>
      </c>
      <c r="K308" s="113"/>
      <c r="L308" s="113" t="s">
        <v>127</v>
      </c>
    </row>
    <row r="309" spans="2:12" ht="21.95" customHeight="1">
      <c r="B309" s="109">
        <v>15</v>
      </c>
      <c r="C309" s="109" t="s">
        <v>751</v>
      </c>
      <c r="D309" s="110" t="s">
        <v>752</v>
      </c>
      <c r="E309" s="109" t="s">
        <v>191</v>
      </c>
      <c r="F309" s="109" t="s">
        <v>192</v>
      </c>
      <c r="G309" s="109" t="s">
        <v>166</v>
      </c>
      <c r="H309" s="111" t="s">
        <v>147</v>
      </c>
      <c r="I309" s="114"/>
      <c r="J309" s="113" t="s">
        <v>127</v>
      </c>
      <c r="K309" s="113"/>
      <c r="L309" s="113" t="s">
        <v>127</v>
      </c>
    </row>
    <row r="310" spans="2:12" ht="21.95" customHeight="1">
      <c r="B310" s="109">
        <v>15</v>
      </c>
      <c r="C310" s="109" t="s">
        <v>753</v>
      </c>
      <c r="D310" s="110" t="s">
        <v>754</v>
      </c>
      <c r="E310" s="109" t="s">
        <v>741</v>
      </c>
      <c r="F310" s="109" t="s">
        <v>192</v>
      </c>
      <c r="G310" s="109" t="s">
        <v>166</v>
      </c>
      <c r="H310" s="111" t="s">
        <v>147</v>
      </c>
      <c r="I310" s="114"/>
      <c r="J310" s="113" t="s">
        <v>127</v>
      </c>
      <c r="K310" s="113"/>
      <c r="L310" s="113" t="s">
        <v>127</v>
      </c>
    </row>
    <row r="311" spans="2:12" ht="21.95" customHeight="1">
      <c r="B311" s="115">
        <v>15.5</v>
      </c>
      <c r="C311" s="115"/>
      <c r="D311" s="103" t="s">
        <v>755</v>
      </c>
      <c r="E311" s="115"/>
      <c r="F311" s="115"/>
      <c r="G311" s="115"/>
      <c r="H311" s="115"/>
      <c r="I311" s="120"/>
      <c r="J311" s="115"/>
      <c r="K311" s="121"/>
      <c r="L311" s="119"/>
    </row>
    <row r="312" spans="2:12" ht="21.95" customHeight="1">
      <c r="B312" s="109">
        <v>16</v>
      </c>
      <c r="C312" s="109" t="s">
        <v>756</v>
      </c>
      <c r="D312" s="110" t="s">
        <v>757</v>
      </c>
      <c r="E312" s="109" t="s">
        <v>191</v>
      </c>
      <c r="F312" s="109" t="s">
        <v>192</v>
      </c>
      <c r="G312" s="109"/>
      <c r="H312" s="111" t="s">
        <v>147</v>
      </c>
      <c r="I312" s="114"/>
      <c r="J312" s="113" t="s">
        <v>127</v>
      </c>
      <c r="K312" s="113"/>
      <c r="L312" s="113" t="s">
        <v>127</v>
      </c>
    </row>
    <row r="313" spans="2:12" ht="21.95" customHeight="1">
      <c r="B313" s="109">
        <v>6</v>
      </c>
      <c r="C313" s="109" t="s">
        <v>758</v>
      </c>
      <c r="D313" s="110" t="s">
        <v>759</v>
      </c>
      <c r="E313" s="109" t="s">
        <v>191</v>
      </c>
      <c r="F313" s="109" t="s">
        <v>192</v>
      </c>
      <c r="G313" s="109"/>
      <c r="H313" s="111" t="s">
        <v>126</v>
      </c>
      <c r="I313" s="112"/>
      <c r="J313" s="113"/>
      <c r="K313" s="113"/>
      <c r="L313" s="113" t="s">
        <v>127</v>
      </c>
    </row>
    <row r="314" spans="2:12" ht="21.95" customHeight="1">
      <c r="B314" s="109">
        <v>16</v>
      </c>
      <c r="C314" s="109" t="s">
        <v>760</v>
      </c>
      <c r="D314" s="110" t="s">
        <v>761</v>
      </c>
      <c r="E314" s="109" t="s">
        <v>191</v>
      </c>
      <c r="F314" s="109" t="s">
        <v>192</v>
      </c>
      <c r="G314" s="109"/>
      <c r="H314" s="111" t="s">
        <v>147</v>
      </c>
      <c r="I314" s="114"/>
      <c r="J314" s="113" t="s">
        <v>127</v>
      </c>
      <c r="K314" s="113"/>
      <c r="L314" s="113" t="s">
        <v>127</v>
      </c>
    </row>
    <row r="315" spans="2:12" ht="21.95" customHeight="1">
      <c r="B315" s="109">
        <v>16</v>
      </c>
      <c r="C315" s="109" t="s">
        <v>44</v>
      </c>
      <c r="D315" s="110" t="s">
        <v>45</v>
      </c>
      <c r="E315" s="109" t="s">
        <v>762</v>
      </c>
      <c r="F315" s="109" t="s">
        <v>763</v>
      </c>
      <c r="G315" s="109"/>
      <c r="H315" s="111" t="s">
        <v>544</v>
      </c>
      <c r="I315" s="114"/>
      <c r="J315" s="113"/>
      <c r="K315" s="113"/>
      <c r="L315" s="113" t="s">
        <v>127</v>
      </c>
    </row>
    <row r="316" spans="2:12" ht="21.95" customHeight="1">
      <c r="B316" s="109">
        <v>16</v>
      </c>
      <c r="C316" s="109" t="s">
        <v>42</v>
      </c>
      <c r="D316" s="110" t="s">
        <v>43</v>
      </c>
      <c r="E316" s="109" t="s">
        <v>762</v>
      </c>
      <c r="F316" s="109" t="s">
        <v>763</v>
      </c>
      <c r="G316" s="109"/>
      <c r="H316" s="111" t="s">
        <v>544</v>
      </c>
      <c r="I316" s="114"/>
      <c r="J316" s="113"/>
      <c r="K316" s="113"/>
      <c r="L316" s="113" t="s">
        <v>127</v>
      </c>
    </row>
    <row r="317" spans="2:12" ht="21.95" customHeight="1">
      <c r="B317" s="109">
        <v>16</v>
      </c>
      <c r="C317" s="109" t="s">
        <v>33</v>
      </c>
      <c r="D317" s="110" t="s">
        <v>764</v>
      </c>
      <c r="E317" s="109" t="s">
        <v>762</v>
      </c>
      <c r="F317" s="109" t="s">
        <v>192</v>
      </c>
      <c r="G317" s="109"/>
      <c r="H317" s="111" t="s">
        <v>126</v>
      </c>
      <c r="I317" s="114"/>
      <c r="J317" s="113"/>
      <c r="K317" s="113"/>
      <c r="L317" s="113" t="s">
        <v>127</v>
      </c>
    </row>
    <row r="318" spans="2:12" ht="21.95" customHeight="1">
      <c r="B318" s="109">
        <v>16</v>
      </c>
      <c r="C318" s="109" t="s">
        <v>765</v>
      </c>
      <c r="D318" s="110" t="s">
        <v>766</v>
      </c>
      <c r="E318" s="109" t="s">
        <v>191</v>
      </c>
      <c r="F318" s="109" t="s">
        <v>192</v>
      </c>
      <c r="G318" s="109"/>
      <c r="H318" s="111" t="s">
        <v>147</v>
      </c>
      <c r="I318" s="114"/>
      <c r="J318" s="113" t="s">
        <v>127</v>
      </c>
      <c r="K318" s="113"/>
      <c r="L318" s="113" t="s">
        <v>127</v>
      </c>
    </row>
    <row r="319" spans="2:12" ht="21.95" customHeight="1">
      <c r="B319" s="109">
        <v>16</v>
      </c>
      <c r="C319" s="109" t="s">
        <v>767</v>
      </c>
      <c r="D319" s="110" t="s">
        <v>768</v>
      </c>
      <c r="E319" s="109" t="s">
        <v>191</v>
      </c>
      <c r="F319" s="109" t="s">
        <v>192</v>
      </c>
      <c r="G319" s="109"/>
      <c r="H319" s="111" t="s">
        <v>147</v>
      </c>
      <c r="I319" s="114"/>
      <c r="J319" s="113" t="s">
        <v>127</v>
      </c>
      <c r="K319" s="113"/>
      <c r="L319" s="113" t="s">
        <v>127</v>
      </c>
    </row>
    <row r="320" spans="2:12" ht="21.95" customHeight="1">
      <c r="B320" s="109">
        <v>1</v>
      </c>
      <c r="C320" s="109" t="s">
        <v>769</v>
      </c>
      <c r="D320" s="110" t="s">
        <v>770</v>
      </c>
      <c r="E320" s="109" t="s">
        <v>191</v>
      </c>
      <c r="F320" s="109" t="s">
        <v>192</v>
      </c>
      <c r="G320" s="109" t="s">
        <v>125</v>
      </c>
      <c r="H320" s="111" t="s">
        <v>126</v>
      </c>
      <c r="I320" s="112"/>
      <c r="J320" s="113"/>
      <c r="K320" s="113"/>
      <c r="L320" s="113" t="s">
        <v>127</v>
      </c>
    </row>
    <row r="321" spans="1:12" ht="21.95" customHeight="1">
      <c r="B321" s="109">
        <v>16</v>
      </c>
      <c r="C321" s="109" t="s">
        <v>771</v>
      </c>
      <c r="D321" s="110" t="s">
        <v>772</v>
      </c>
      <c r="E321" s="109" t="s">
        <v>191</v>
      </c>
      <c r="F321" s="109" t="s">
        <v>192</v>
      </c>
      <c r="G321" s="109"/>
      <c r="H321" s="111" t="s">
        <v>147</v>
      </c>
      <c r="I321" s="114"/>
      <c r="J321" s="113" t="s">
        <v>127</v>
      </c>
      <c r="K321" s="113"/>
      <c r="L321" s="113" t="s">
        <v>127</v>
      </c>
    </row>
    <row r="322" spans="1:12" ht="21.95" customHeight="1">
      <c r="B322" s="109">
        <v>16</v>
      </c>
      <c r="C322" s="109" t="s">
        <v>773</v>
      </c>
      <c r="D322" s="110" t="s">
        <v>774</v>
      </c>
      <c r="E322" s="109" t="s">
        <v>762</v>
      </c>
      <c r="F322" s="109" t="s">
        <v>763</v>
      </c>
      <c r="G322" s="109"/>
      <c r="H322" s="111" t="s">
        <v>147</v>
      </c>
      <c r="I322" s="114"/>
      <c r="J322" s="113" t="s">
        <v>127</v>
      </c>
      <c r="K322" s="113"/>
      <c r="L322" s="113" t="s">
        <v>127</v>
      </c>
    </row>
    <row r="323" spans="1:12" ht="21.95" customHeight="1">
      <c r="B323" s="109">
        <v>16</v>
      </c>
      <c r="C323" s="109" t="s">
        <v>775</v>
      </c>
      <c r="D323" s="110" t="s">
        <v>776</v>
      </c>
      <c r="E323" s="109" t="s">
        <v>214</v>
      </c>
      <c r="F323" s="109" t="s">
        <v>157</v>
      </c>
      <c r="G323" s="109"/>
      <c r="H323" s="111" t="s">
        <v>147</v>
      </c>
      <c r="I323" s="114"/>
      <c r="J323" s="113" t="s">
        <v>127</v>
      </c>
      <c r="K323" s="113"/>
      <c r="L323" s="113" t="s">
        <v>127</v>
      </c>
    </row>
    <row r="324" spans="1:12" ht="21.95" customHeight="1">
      <c r="B324" s="109">
        <v>16</v>
      </c>
      <c r="C324" s="109" t="s">
        <v>777</v>
      </c>
      <c r="D324" s="110" t="s">
        <v>778</v>
      </c>
      <c r="E324" s="109" t="s">
        <v>191</v>
      </c>
      <c r="F324" s="109" t="s">
        <v>192</v>
      </c>
      <c r="G324" s="109" t="s">
        <v>166</v>
      </c>
      <c r="H324" s="111" t="s">
        <v>147</v>
      </c>
      <c r="I324" s="114"/>
      <c r="J324" s="113" t="s">
        <v>127</v>
      </c>
      <c r="K324" s="113"/>
      <c r="L324" s="113" t="s">
        <v>127</v>
      </c>
    </row>
    <row r="325" spans="1:12" ht="21.95" customHeight="1">
      <c r="B325" s="109">
        <v>16</v>
      </c>
      <c r="C325" s="109">
        <v>7051</v>
      </c>
      <c r="D325" s="110" t="s">
        <v>779</v>
      </c>
      <c r="E325" s="109" t="s">
        <v>763</v>
      </c>
      <c r="F325" s="109" t="s">
        <v>763</v>
      </c>
      <c r="G325" s="109"/>
      <c r="H325" s="111"/>
      <c r="I325" s="114"/>
      <c r="J325" s="113" t="s">
        <v>127</v>
      </c>
      <c r="K325" s="113"/>
      <c r="L325" s="113" t="s">
        <v>127</v>
      </c>
    </row>
    <row r="326" spans="1:12" ht="21.95" customHeight="1">
      <c r="B326" s="109">
        <v>16</v>
      </c>
      <c r="C326" s="109">
        <v>7052</v>
      </c>
      <c r="D326" s="110" t="s">
        <v>780</v>
      </c>
      <c r="E326" s="109" t="s">
        <v>763</v>
      </c>
      <c r="F326" s="109" t="s">
        <v>763</v>
      </c>
      <c r="G326" s="109"/>
      <c r="H326" s="111"/>
      <c r="I326" s="114"/>
      <c r="J326" s="113" t="s">
        <v>127</v>
      </c>
      <c r="K326" s="113"/>
      <c r="L326" s="113" t="s">
        <v>127</v>
      </c>
    </row>
    <row r="327" spans="1:12" ht="21.95" customHeight="1">
      <c r="B327" s="109">
        <v>16</v>
      </c>
      <c r="C327" s="109" t="s">
        <v>781</v>
      </c>
      <c r="D327" s="140" t="s">
        <v>782</v>
      </c>
      <c r="E327" s="109" t="s">
        <v>763</v>
      </c>
      <c r="F327" s="109" t="s">
        <v>763</v>
      </c>
      <c r="G327" s="109"/>
      <c r="H327" s="111"/>
      <c r="I327" s="114"/>
      <c r="J327" s="113" t="s">
        <v>127</v>
      </c>
      <c r="K327" s="113"/>
      <c r="L327" s="113" t="s">
        <v>127</v>
      </c>
    </row>
    <row r="328" spans="1:12" ht="21.95" customHeight="1">
      <c r="B328" s="109">
        <v>16</v>
      </c>
      <c r="C328" s="109" t="s">
        <v>783</v>
      </c>
      <c r="D328" s="110" t="s">
        <v>784</v>
      </c>
      <c r="E328" s="109" t="s">
        <v>191</v>
      </c>
      <c r="F328" s="109" t="s">
        <v>192</v>
      </c>
      <c r="G328" s="109"/>
      <c r="H328" s="111" t="s">
        <v>147</v>
      </c>
      <c r="I328" s="142"/>
      <c r="J328" s="113" t="s">
        <v>127</v>
      </c>
      <c r="K328" s="143"/>
      <c r="L328" s="143" t="s">
        <v>127</v>
      </c>
    </row>
    <row r="329" spans="1:12" ht="21.95" customHeight="1">
      <c r="A329" s="81" t="s">
        <v>168</v>
      </c>
      <c r="B329" s="109">
        <v>16</v>
      </c>
      <c r="C329" s="109" t="s">
        <v>785</v>
      </c>
      <c r="D329" s="110" t="s">
        <v>786</v>
      </c>
      <c r="E329" s="109" t="s">
        <v>156</v>
      </c>
      <c r="F329" s="109" t="s">
        <v>763</v>
      </c>
      <c r="G329" s="109"/>
      <c r="H329" s="111" t="s">
        <v>126</v>
      </c>
      <c r="I329" s="114"/>
      <c r="J329" s="113"/>
      <c r="K329" s="113"/>
      <c r="L329" s="113" t="s">
        <v>127</v>
      </c>
    </row>
    <row r="330" spans="1:12" ht="21.95" customHeight="1">
      <c r="B330" s="109">
        <v>16</v>
      </c>
      <c r="C330" s="109" t="s">
        <v>787</v>
      </c>
      <c r="D330" s="110" t="s">
        <v>788</v>
      </c>
      <c r="E330" s="109" t="s">
        <v>762</v>
      </c>
      <c r="F330" s="109" t="s">
        <v>763</v>
      </c>
      <c r="G330" s="109"/>
      <c r="H330" s="111" t="s">
        <v>147</v>
      </c>
      <c r="I330" s="114"/>
      <c r="J330" s="113" t="s">
        <v>127</v>
      </c>
      <c r="K330" s="113"/>
      <c r="L330" s="113" t="s">
        <v>127</v>
      </c>
    </row>
    <row r="331" spans="1:12" ht="21.95" customHeight="1">
      <c r="B331" s="109">
        <v>16</v>
      </c>
      <c r="C331" s="109" t="s">
        <v>789</v>
      </c>
      <c r="D331" s="110" t="s">
        <v>790</v>
      </c>
      <c r="E331" s="109" t="s">
        <v>191</v>
      </c>
      <c r="F331" s="109" t="s">
        <v>192</v>
      </c>
      <c r="G331" s="109"/>
      <c r="H331" s="111" t="s">
        <v>147</v>
      </c>
      <c r="I331" s="114"/>
      <c r="J331" s="113" t="s">
        <v>127</v>
      </c>
      <c r="K331" s="113"/>
      <c r="L331" s="113" t="s">
        <v>127</v>
      </c>
    </row>
    <row r="332" spans="1:12" ht="21.95" customHeight="1">
      <c r="B332" s="109">
        <v>16</v>
      </c>
      <c r="C332" s="109" t="s">
        <v>52</v>
      </c>
      <c r="D332" s="110" t="s">
        <v>53</v>
      </c>
      <c r="E332" s="109" t="s">
        <v>762</v>
      </c>
      <c r="F332" s="109" t="s">
        <v>763</v>
      </c>
      <c r="G332" s="109" t="s">
        <v>166</v>
      </c>
      <c r="H332" s="111" t="s">
        <v>544</v>
      </c>
      <c r="I332" s="114"/>
      <c r="J332" s="113"/>
      <c r="K332" s="113"/>
      <c r="L332" s="113" t="s">
        <v>127</v>
      </c>
    </row>
    <row r="333" spans="1:12" ht="21.95" customHeight="1">
      <c r="B333" s="109">
        <v>15</v>
      </c>
      <c r="C333" s="109" t="s">
        <v>791</v>
      </c>
      <c r="D333" s="110" t="s">
        <v>792</v>
      </c>
      <c r="E333" s="109" t="s">
        <v>693</v>
      </c>
      <c r="F333" s="109" t="s">
        <v>157</v>
      </c>
      <c r="G333" s="109"/>
      <c r="H333" s="111" t="s">
        <v>147</v>
      </c>
      <c r="I333" s="114"/>
      <c r="J333" s="113" t="s">
        <v>127</v>
      </c>
      <c r="K333" s="113"/>
      <c r="L333" s="113" t="s">
        <v>127</v>
      </c>
    </row>
    <row r="334" spans="1:12" ht="21.95" customHeight="1">
      <c r="B334" s="109">
        <v>15</v>
      </c>
      <c r="C334" s="109" t="s">
        <v>793</v>
      </c>
      <c r="D334" s="110" t="s">
        <v>794</v>
      </c>
      <c r="E334" s="109" t="s">
        <v>741</v>
      </c>
      <c r="F334" s="109" t="s">
        <v>742</v>
      </c>
      <c r="G334" s="109"/>
      <c r="H334" s="111" t="s">
        <v>147</v>
      </c>
      <c r="I334" s="114"/>
      <c r="J334" s="113" t="s">
        <v>127</v>
      </c>
      <c r="K334" s="113"/>
      <c r="L334" s="113" t="s">
        <v>127</v>
      </c>
    </row>
    <row r="335" spans="1:12" ht="24" customHeight="1">
      <c r="B335" s="109">
        <v>16</v>
      </c>
      <c r="C335" s="109" t="s">
        <v>795</v>
      </c>
      <c r="D335" s="110" t="s">
        <v>796</v>
      </c>
      <c r="E335" s="109" t="s">
        <v>191</v>
      </c>
      <c r="F335" s="109" t="s">
        <v>192</v>
      </c>
      <c r="G335" s="109" t="s">
        <v>166</v>
      </c>
      <c r="H335" s="111" t="s">
        <v>147</v>
      </c>
      <c r="I335" s="114"/>
      <c r="J335" s="113" t="s">
        <v>127</v>
      </c>
      <c r="K335" s="113"/>
      <c r="L335" s="113" t="s">
        <v>127</v>
      </c>
    </row>
    <row r="336" spans="1:12" ht="21.95" customHeight="1">
      <c r="B336" s="109">
        <v>16</v>
      </c>
      <c r="C336" s="109" t="s">
        <v>797</v>
      </c>
      <c r="D336" s="110" t="s">
        <v>798</v>
      </c>
      <c r="E336" s="109" t="s">
        <v>762</v>
      </c>
      <c r="F336" s="109" t="s">
        <v>763</v>
      </c>
      <c r="G336" s="109"/>
      <c r="H336" s="111" t="s">
        <v>147</v>
      </c>
      <c r="I336" s="114"/>
      <c r="J336" s="113" t="s">
        <v>127</v>
      </c>
      <c r="K336" s="113"/>
      <c r="L336" s="113" t="s">
        <v>127</v>
      </c>
    </row>
    <row r="337" spans="2:12" ht="21.95" customHeight="1">
      <c r="B337" s="109">
        <v>16</v>
      </c>
      <c r="C337" s="109" t="s">
        <v>60</v>
      </c>
      <c r="D337" s="110" t="s">
        <v>61</v>
      </c>
      <c r="E337" s="109" t="s">
        <v>762</v>
      </c>
      <c r="F337" s="109" t="s">
        <v>763</v>
      </c>
      <c r="G337" s="109"/>
      <c r="H337" s="111" t="s">
        <v>544</v>
      </c>
      <c r="I337" s="114"/>
      <c r="J337" s="113"/>
      <c r="K337" s="113"/>
      <c r="L337" s="113" t="s">
        <v>127</v>
      </c>
    </row>
    <row r="338" spans="2:12" ht="21.95" customHeight="1">
      <c r="B338" s="109">
        <v>16</v>
      </c>
      <c r="C338" s="109" t="s">
        <v>799</v>
      </c>
      <c r="D338" s="110" t="s">
        <v>800</v>
      </c>
      <c r="E338" s="109" t="s">
        <v>191</v>
      </c>
      <c r="F338" s="109" t="s">
        <v>192</v>
      </c>
      <c r="G338" s="109"/>
      <c r="H338" s="111" t="s">
        <v>147</v>
      </c>
      <c r="I338" s="114"/>
      <c r="J338" s="113" t="s">
        <v>127</v>
      </c>
      <c r="K338" s="113"/>
      <c r="L338" s="113" t="s">
        <v>127</v>
      </c>
    </row>
    <row r="339" spans="2:12" ht="21.95" customHeight="1">
      <c r="B339" s="109">
        <v>16</v>
      </c>
      <c r="C339" s="109" t="s">
        <v>801</v>
      </c>
      <c r="D339" s="110" t="s">
        <v>802</v>
      </c>
      <c r="E339" s="109" t="s">
        <v>191</v>
      </c>
      <c r="F339" s="109" t="s">
        <v>192</v>
      </c>
      <c r="G339" s="109"/>
      <c r="H339" s="111" t="s">
        <v>147</v>
      </c>
      <c r="I339" s="114"/>
      <c r="J339" s="113" t="s">
        <v>127</v>
      </c>
      <c r="K339" s="113"/>
      <c r="L339" s="113" t="s">
        <v>127</v>
      </c>
    </row>
    <row r="340" spans="2:12" ht="21.95" customHeight="1">
      <c r="B340" s="109">
        <v>16</v>
      </c>
      <c r="C340" s="109" t="s">
        <v>803</v>
      </c>
      <c r="D340" s="110" t="s">
        <v>804</v>
      </c>
      <c r="E340" s="109" t="s">
        <v>191</v>
      </c>
      <c r="F340" s="109" t="s">
        <v>192</v>
      </c>
      <c r="G340" s="109"/>
      <c r="H340" s="111" t="s">
        <v>147</v>
      </c>
      <c r="I340" s="114"/>
      <c r="J340" s="113" t="s">
        <v>127</v>
      </c>
      <c r="K340" s="113"/>
      <c r="L340" s="113" t="s">
        <v>127</v>
      </c>
    </row>
    <row r="341" spans="2:12" ht="21.95" customHeight="1">
      <c r="B341" s="109">
        <v>16</v>
      </c>
      <c r="C341" s="109" t="s">
        <v>805</v>
      </c>
      <c r="D341" s="110" t="s">
        <v>806</v>
      </c>
      <c r="E341" s="109" t="s">
        <v>191</v>
      </c>
      <c r="F341" s="109" t="s">
        <v>763</v>
      </c>
      <c r="G341" s="109"/>
      <c r="H341" s="111" t="s">
        <v>147</v>
      </c>
      <c r="I341" s="114"/>
      <c r="J341" s="113" t="s">
        <v>127</v>
      </c>
      <c r="K341" s="113"/>
      <c r="L341" s="113" t="s">
        <v>127</v>
      </c>
    </row>
    <row r="342" spans="2:12" ht="21.95" customHeight="1">
      <c r="B342" s="109">
        <v>15</v>
      </c>
      <c r="C342" s="109" t="s">
        <v>807</v>
      </c>
      <c r="D342" s="110" t="s">
        <v>808</v>
      </c>
      <c r="E342" s="109" t="s">
        <v>762</v>
      </c>
      <c r="F342" s="109" t="s">
        <v>763</v>
      </c>
      <c r="G342" s="109" t="s">
        <v>166</v>
      </c>
      <c r="H342" s="111" t="s">
        <v>147</v>
      </c>
      <c r="I342" s="114"/>
      <c r="J342" s="113" t="s">
        <v>127</v>
      </c>
      <c r="K342" s="113"/>
      <c r="L342" s="113" t="s">
        <v>127</v>
      </c>
    </row>
    <row r="343" spans="2:12" ht="21.95" customHeight="1">
      <c r="B343" s="109">
        <v>15</v>
      </c>
      <c r="C343" s="109" t="s">
        <v>809</v>
      </c>
      <c r="D343" s="110" t="s">
        <v>810</v>
      </c>
      <c r="E343" s="109" t="s">
        <v>762</v>
      </c>
      <c r="F343" s="109" t="s">
        <v>763</v>
      </c>
      <c r="G343" s="109" t="s">
        <v>166</v>
      </c>
      <c r="H343" s="111" t="s">
        <v>147</v>
      </c>
      <c r="I343" s="114"/>
      <c r="J343" s="113" t="s">
        <v>127</v>
      </c>
      <c r="K343" s="113"/>
      <c r="L343" s="113" t="s">
        <v>127</v>
      </c>
    </row>
    <row r="344" spans="2:12" ht="21.95" customHeight="1">
      <c r="B344" s="109">
        <v>16</v>
      </c>
      <c r="C344" s="109" t="s">
        <v>811</v>
      </c>
      <c r="D344" s="110" t="s">
        <v>812</v>
      </c>
      <c r="E344" s="109" t="s">
        <v>762</v>
      </c>
      <c r="F344" s="109" t="s">
        <v>763</v>
      </c>
      <c r="G344" s="109"/>
      <c r="H344" s="111" t="s">
        <v>147</v>
      </c>
      <c r="I344" s="114"/>
      <c r="J344" s="113" t="s">
        <v>127</v>
      </c>
      <c r="K344" s="113"/>
      <c r="L344" s="113" t="s">
        <v>127</v>
      </c>
    </row>
    <row r="345" spans="2:12" ht="21.95" customHeight="1">
      <c r="B345" s="109">
        <v>16</v>
      </c>
      <c r="C345" s="109" t="s">
        <v>813</v>
      </c>
      <c r="D345" s="110" t="s">
        <v>814</v>
      </c>
      <c r="E345" s="109" t="s">
        <v>191</v>
      </c>
      <c r="F345" s="109" t="s">
        <v>192</v>
      </c>
      <c r="G345" s="109"/>
      <c r="H345" s="111" t="s">
        <v>147</v>
      </c>
      <c r="I345" s="136"/>
      <c r="J345" s="113" t="s">
        <v>127</v>
      </c>
      <c r="K345" s="128"/>
      <c r="L345" s="128" t="s">
        <v>127</v>
      </c>
    </row>
    <row r="346" spans="2:12" ht="21.95" customHeight="1">
      <c r="B346" s="109">
        <v>16</v>
      </c>
      <c r="C346" s="109" t="s">
        <v>815</v>
      </c>
      <c r="D346" s="110" t="s">
        <v>816</v>
      </c>
      <c r="E346" s="109" t="s">
        <v>191</v>
      </c>
      <c r="F346" s="109" t="s">
        <v>192</v>
      </c>
      <c r="G346" s="109" t="s">
        <v>166</v>
      </c>
      <c r="H346" s="111" t="s">
        <v>126</v>
      </c>
      <c r="I346" s="144"/>
      <c r="J346" s="113"/>
      <c r="K346" s="128"/>
      <c r="L346" s="128" t="s">
        <v>127</v>
      </c>
    </row>
    <row r="347" spans="2:12" ht="21.95" customHeight="1">
      <c r="B347" s="109">
        <v>16</v>
      </c>
      <c r="C347" s="109" t="s">
        <v>817</v>
      </c>
      <c r="D347" s="110" t="s">
        <v>818</v>
      </c>
      <c r="E347" s="109" t="s">
        <v>191</v>
      </c>
      <c r="F347" s="109" t="s">
        <v>192</v>
      </c>
      <c r="G347" s="109"/>
      <c r="H347" s="111" t="s">
        <v>126</v>
      </c>
      <c r="I347" s="144"/>
      <c r="J347" s="113"/>
      <c r="K347" s="128"/>
      <c r="L347" s="128" t="s">
        <v>127</v>
      </c>
    </row>
    <row r="348" spans="2:12" ht="21.95" customHeight="1">
      <c r="B348" s="109">
        <v>15</v>
      </c>
      <c r="C348" s="109" t="s">
        <v>819</v>
      </c>
      <c r="D348" s="110" t="s">
        <v>820</v>
      </c>
      <c r="E348" s="109" t="s">
        <v>214</v>
      </c>
      <c r="F348" s="109" t="s">
        <v>157</v>
      </c>
      <c r="G348" s="109" t="s">
        <v>166</v>
      </c>
      <c r="H348" s="111" t="s">
        <v>147</v>
      </c>
      <c r="I348" s="136"/>
      <c r="J348" s="113" t="s">
        <v>127</v>
      </c>
      <c r="K348" s="128"/>
      <c r="L348" s="128" t="s">
        <v>127</v>
      </c>
    </row>
    <row r="349" spans="2:12" ht="21.95" customHeight="1">
      <c r="B349" s="109">
        <v>16</v>
      </c>
      <c r="C349" s="109" t="s">
        <v>73</v>
      </c>
      <c r="D349" s="110" t="s">
        <v>74</v>
      </c>
      <c r="E349" s="109" t="s">
        <v>821</v>
      </c>
      <c r="F349" s="109" t="s">
        <v>763</v>
      </c>
      <c r="G349" s="109" t="s">
        <v>166</v>
      </c>
      <c r="H349" s="111" t="s">
        <v>544</v>
      </c>
      <c r="I349" s="144"/>
      <c r="J349" s="113"/>
      <c r="K349" s="128"/>
      <c r="L349" s="128" t="s">
        <v>127</v>
      </c>
    </row>
    <row r="350" spans="2:12" ht="21.95" customHeight="1">
      <c r="B350" s="109">
        <v>16</v>
      </c>
      <c r="C350" s="109" t="s">
        <v>38</v>
      </c>
      <c r="D350" s="110" t="s">
        <v>822</v>
      </c>
      <c r="E350" s="109" t="s">
        <v>188</v>
      </c>
      <c r="F350" s="109" t="s">
        <v>192</v>
      </c>
      <c r="G350" s="109"/>
      <c r="H350" s="111" t="s">
        <v>823</v>
      </c>
      <c r="I350" s="144"/>
      <c r="J350" s="113"/>
      <c r="K350" s="128"/>
      <c r="L350" s="128" t="s">
        <v>127</v>
      </c>
    </row>
    <row r="351" spans="2:12" ht="21.95" customHeight="1">
      <c r="B351" s="109">
        <v>16</v>
      </c>
      <c r="C351" s="109" t="s">
        <v>65</v>
      </c>
      <c r="D351" s="110" t="s">
        <v>824</v>
      </c>
      <c r="E351" s="109" t="s">
        <v>156</v>
      </c>
      <c r="F351" s="109" t="s">
        <v>763</v>
      </c>
      <c r="G351" s="109" t="s">
        <v>166</v>
      </c>
      <c r="H351" s="111" t="s">
        <v>544</v>
      </c>
      <c r="I351" s="112"/>
      <c r="J351" s="145"/>
      <c r="K351" s="113"/>
      <c r="L351" s="113" t="s">
        <v>127</v>
      </c>
    </row>
  </sheetData>
  <mergeCells count="1">
    <mergeCell ref="E4:F4"/>
  </mergeCells>
  <printOptions horizontalCentered="1"/>
  <pageMargins left="0.39374999999999999" right="0.39374999999999999" top="0.88541666666666696" bottom="1.1680555555555601" header="0.51180555555555496" footer="0.51180555555555496"/>
  <pageSetup paperSize="9" scale="85" firstPageNumber="0" pageOrder="overThenDown" orientation="portrait" horizontalDpi="300" verticalDpi="300"/>
  <headerFooter>
    <oddFooter>&amp;L&amp;D   &amp;T&amp;CPágina &amp;P&amp;R&amp;F  [&amp;A]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"/>
  <sheetViews>
    <sheetView showGridLines="0" zoomScaleNormal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C44" sqref="C44"/>
    </sheetView>
  </sheetViews>
  <sheetFormatPr defaultColWidth="8.83203125" defaultRowHeight="11.25"/>
  <cols>
    <col min="1" max="1" width="28.83203125" customWidth="1"/>
    <col min="2" max="3" width="14.1640625" customWidth="1"/>
    <col min="4" max="7" width="14.1640625" hidden="1" customWidth="1"/>
    <col min="8" max="11" width="14.1640625" customWidth="1"/>
    <col min="12" max="12" width="11.5" customWidth="1"/>
    <col min="13" max="13" width="9" customWidth="1"/>
    <col min="14" max="14" width="10.1640625" customWidth="1"/>
    <col min="15" max="15" width="11.33203125" customWidth="1"/>
    <col min="16" max="16" width="10.1640625" customWidth="1"/>
    <col min="17" max="17" width="10.33203125" customWidth="1"/>
    <col min="18" max="24" width="14.1640625" customWidth="1"/>
  </cols>
  <sheetData>
    <row r="1" spans="1:24">
      <c r="A1" s="146" t="s">
        <v>0</v>
      </c>
      <c r="B1" s="146"/>
      <c r="C1" s="4"/>
      <c r="D1" s="4"/>
      <c r="E1" s="4"/>
      <c r="F1" s="4"/>
      <c r="G1" s="4"/>
      <c r="H1" s="4"/>
      <c r="I1" s="147"/>
      <c r="J1" s="4"/>
      <c r="K1" s="148"/>
      <c r="L1" s="149"/>
      <c r="M1" s="4"/>
      <c r="N1" s="4"/>
      <c r="O1" s="4"/>
      <c r="P1" s="4"/>
      <c r="Q1" s="4"/>
      <c r="R1" s="4"/>
      <c r="S1" s="148"/>
    </row>
    <row r="2" spans="1:24">
      <c r="A2" s="146" t="s">
        <v>2</v>
      </c>
      <c r="B2" s="146"/>
      <c r="C2" s="4"/>
      <c r="D2" s="4"/>
      <c r="E2" s="4"/>
      <c r="F2" s="4"/>
      <c r="G2" s="4"/>
      <c r="H2" s="4"/>
      <c r="I2" s="147"/>
      <c r="J2" s="4"/>
      <c r="K2" s="148"/>
      <c r="L2" s="149"/>
      <c r="M2" s="4"/>
      <c r="N2" s="4"/>
      <c r="O2" s="4"/>
      <c r="P2" s="4"/>
      <c r="Q2" s="4"/>
      <c r="R2" s="4"/>
      <c r="S2" s="148"/>
    </row>
    <row r="3" spans="1:24">
      <c r="A3" s="146" t="s">
        <v>3</v>
      </c>
      <c r="B3" s="146"/>
      <c r="C3" s="4"/>
      <c r="D3" s="4"/>
      <c r="E3" s="4"/>
      <c r="F3" s="4"/>
      <c r="G3" s="4"/>
      <c r="H3" s="4"/>
      <c r="I3" s="147"/>
      <c r="J3" s="4"/>
      <c r="K3" s="148"/>
      <c r="L3" s="149"/>
      <c r="M3" s="4"/>
      <c r="N3" s="4"/>
      <c r="O3" s="4"/>
      <c r="P3" s="4"/>
      <c r="Q3" s="4"/>
      <c r="R3" s="4"/>
      <c r="S3" s="148"/>
    </row>
    <row r="4" spans="1:24">
      <c r="A4" s="4"/>
      <c r="B4" s="4"/>
      <c r="C4" s="4"/>
      <c r="D4" s="4"/>
      <c r="E4" s="4"/>
      <c r="F4" s="4"/>
      <c r="G4" s="4"/>
      <c r="H4" s="4"/>
      <c r="I4" s="147"/>
      <c r="J4" s="4"/>
      <c r="K4" s="148"/>
      <c r="L4" s="149"/>
      <c r="M4" s="4"/>
      <c r="N4" s="4"/>
      <c r="O4" s="4"/>
      <c r="P4" s="4"/>
      <c r="Q4" s="4"/>
      <c r="R4" s="4"/>
      <c r="S4" s="148"/>
    </row>
    <row r="5" spans="1:24" ht="15.75">
      <c r="A5" s="150" t="s">
        <v>924</v>
      </c>
      <c r="B5" s="150"/>
      <c r="C5" s="151"/>
      <c r="D5" s="151"/>
      <c r="E5" s="151"/>
      <c r="F5" s="151"/>
      <c r="G5" s="151"/>
      <c r="H5" s="151"/>
      <c r="I5" s="147"/>
      <c r="J5" s="151"/>
      <c r="K5" s="152"/>
      <c r="L5" s="153"/>
      <c r="M5" s="151"/>
      <c r="N5" s="151"/>
      <c r="O5" s="151"/>
      <c r="P5" s="151"/>
      <c r="Q5" s="151"/>
      <c r="R5" s="151"/>
      <c r="S5" s="152"/>
    </row>
    <row r="6" spans="1:24">
      <c r="A6" s="4"/>
      <c r="B6" s="4"/>
      <c r="C6" s="4"/>
      <c r="D6" s="4"/>
      <c r="E6" s="4"/>
      <c r="F6" s="4"/>
      <c r="G6" s="4"/>
      <c r="H6" s="4"/>
      <c r="I6" s="147"/>
      <c r="J6" s="4"/>
      <c r="K6" s="148"/>
      <c r="L6" s="149"/>
      <c r="M6" s="4"/>
      <c r="N6" s="4"/>
      <c r="O6" s="4"/>
      <c r="P6" s="4"/>
      <c r="Q6" s="4"/>
      <c r="R6" s="4"/>
      <c r="S6" s="148"/>
    </row>
    <row r="7" spans="1:24" ht="11.25" customHeight="1">
      <c r="A7" s="154"/>
      <c r="B7" s="215" t="s">
        <v>825</v>
      </c>
      <c r="C7" s="215" t="s">
        <v>826</v>
      </c>
      <c r="D7" s="215" t="s">
        <v>827</v>
      </c>
      <c r="E7" s="215" t="s">
        <v>828</v>
      </c>
      <c r="F7" s="215" t="s">
        <v>829</v>
      </c>
      <c r="G7" s="215" t="s">
        <v>830</v>
      </c>
      <c r="H7" s="215" t="s">
        <v>831</v>
      </c>
      <c r="I7" s="216" t="s">
        <v>832</v>
      </c>
      <c r="J7" s="217" t="s">
        <v>833</v>
      </c>
      <c r="K7" s="215" t="s">
        <v>834</v>
      </c>
      <c r="L7" s="212" t="s">
        <v>835</v>
      </c>
      <c r="M7" s="212"/>
      <c r="N7" s="212"/>
      <c r="O7" s="212" t="s">
        <v>836</v>
      </c>
      <c r="P7" s="212"/>
      <c r="Q7" s="212"/>
      <c r="R7" s="213" t="s">
        <v>837</v>
      </c>
      <c r="S7" s="213" t="s">
        <v>838</v>
      </c>
    </row>
    <row r="8" spans="1:24" ht="36.6" customHeight="1">
      <c r="A8" s="26"/>
      <c r="B8" s="215"/>
      <c r="C8" s="215"/>
      <c r="D8" s="215"/>
      <c r="E8" s="215"/>
      <c r="F8" s="215"/>
      <c r="G8" s="215"/>
      <c r="H8" s="215"/>
      <c r="I8" s="216"/>
      <c r="J8" s="217"/>
      <c r="K8" s="215"/>
      <c r="L8" s="155" t="s">
        <v>839</v>
      </c>
      <c r="M8" s="155" t="s">
        <v>840</v>
      </c>
      <c r="N8" s="155" t="s">
        <v>841</v>
      </c>
      <c r="O8" s="155" t="s">
        <v>839</v>
      </c>
      <c r="P8" s="155" t="s">
        <v>840</v>
      </c>
      <c r="Q8" s="155" t="s">
        <v>841</v>
      </c>
      <c r="R8" s="213"/>
      <c r="S8" s="213"/>
    </row>
    <row r="9" spans="1:24" ht="12.75">
      <c r="A9" s="214" t="s">
        <v>842</v>
      </c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</row>
    <row r="10" spans="1:24" ht="11.85" customHeight="1">
      <c r="A10" s="156" t="s">
        <v>843</v>
      </c>
      <c r="B10" s="157">
        <f>(Bovinos!B11)</f>
        <v>15132</v>
      </c>
      <c r="C10" s="158">
        <f>SUM(Bovinos!C12:D12)</f>
        <v>0</v>
      </c>
      <c r="D10" s="158">
        <f>Bovinos!C12</f>
        <v>0</v>
      </c>
      <c r="E10" s="158">
        <f>Bovinos!D12</f>
        <v>0</v>
      </c>
      <c r="F10" s="158">
        <f>Bovinos!E12</f>
        <v>0</v>
      </c>
      <c r="G10" s="158">
        <f>Bovinos!F12</f>
        <v>0</v>
      </c>
      <c r="H10" s="159">
        <f t="shared" ref="H10:H25" si="0">C10/B10</f>
        <v>0</v>
      </c>
      <c r="I10" s="159" t="e">
        <f t="shared" ref="I10:I25" si="1">K10/C10</f>
        <v>#DIV/0!</v>
      </c>
      <c r="J10" s="160">
        <f>1990+5304</f>
        <v>7294</v>
      </c>
      <c r="K10" s="161">
        <f t="shared" ref="K10:K24" si="2">ROUND(J10*SUM(C10)/B10,0)</f>
        <v>0</v>
      </c>
      <c r="L10" s="162">
        <f t="shared" ref="L10:L24" si="3">1-N10</f>
        <v>0.79120567375886497</v>
      </c>
      <c r="M10" s="162"/>
      <c r="N10" s="162">
        <v>0.208794326241135</v>
      </c>
      <c r="O10" s="163">
        <v>4400</v>
      </c>
      <c r="P10" s="163"/>
      <c r="Q10" s="163">
        <v>650</v>
      </c>
      <c r="R10" s="164" t="e">
        <f t="shared" ref="R10:R24" si="4">+S10/K10*1000</f>
        <v>#DIV/0!</v>
      </c>
      <c r="S10" s="165">
        <f t="shared" ref="S10:S24" si="5">+(K10*L10*O10+M10*P10*K10+N10*Q10*K10)/1000</f>
        <v>0</v>
      </c>
    </row>
    <row r="11" spans="1:24" ht="11.85" customHeight="1">
      <c r="A11" s="156" t="s">
        <v>844</v>
      </c>
      <c r="B11" s="157">
        <f>(Bovinos!B26)</f>
        <v>8166</v>
      </c>
      <c r="C11" s="158">
        <f>SUM(Bovinos!C27:D27)</f>
        <v>0</v>
      </c>
      <c r="D11" s="158">
        <f>Bovinos!C27</f>
        <v>0</v>
      </c>
      <c r="E11" s="158">
        <f>Bovinos!D27</f>
        <v>0</v>
      </c>
      <c r="F11" s="158">
        <f>Bovinos!E27</f>
        <v>0</v>
      </c>
      <c r="G11" s="158">
        <f>Bovinos!F27</f>
        <v>0</v>
      </c>
      <c r="H11" s="159">
        <f t="shared" si="0"/>
        <v>0</v>
      </c>
      <c r="I11" s="159" t="e">
        <f t="shared" si="1"/>
        <v>#DIV/0!</v>
      </c>
      <c r="J11" s="160">
        <f>1038+3983</f>
        <v>5021</v>
      </c>
      <c r="K11" s="161">
        <f t="shared" si="2"/>
        <v>0</v>
      </c>
      <c r="L11" s="162">
        <f t="shared" si="3"/>
        <v>0.75628154050464802</v>
      </c>
      <c r="M11" s="162"/>
      <c r="N11" s="162">
        <v>0.24371845949535201</v>
      </c>
      <c r="O11" s="163">
        <v>4400</v>
      </c>
      <c r="P11" s="163"/>
      <c r="Q11" s="163">
        <v>650</v>
      </c>
      <c r="R11" s="164" t="e">
        <f t="shared" si="4"/>
        <v>#DIV/0!</v>
      </c>
      <c r="S11" s="165">
        <f t="shared" si="5"/>
        <v>0</v>
      </c>
      <c r="X11">
        <f>176+15</f>
        <v>191</v>
      </c>
    </row>
    <row r="12" spans="1:24" ht="11.85" customHeight="1">
      <c r="A12" s="156" t="s">
        <v>845</v>
      </c>
      <c r="B12" s="157">
        <f>(Bovinos!B41)</f>
        <v>14980</v>
      </c>
      <c r="C12" s="158">
        <f>SUM(Bovinos!C42:D42)</f>
        <v>0</v>
      </c>
      <c r="D12" s="158">
        <f>Bovinos!C42</f>
        <v>0</v>
      </c>
      <c r="E12" s="158">
        <f>Bovinos!D42</f>
        <v>0</v>
      </c>
      <c r="F12" s="158">
        <f>Bovinos!E42</f>
        <v>0</v>
      </c>
      <c r="G12" s="158">
        <f>Bovinos!F42</f>
        <v>0</v>
      </c>
      <c r="H12" s="159">
        <f t="shared" si="0"/>
        <v>0</v>
      </c>
      <c r="I12" s="159" t="e">
        <f t="shared" si="1"/>
        <v>#DIV/0!</v>
      </c>
      <c r="J12" s="160">
        <f>1521+4854</f>
        <v>6375</v>
      </c>
      <c r="K12" s="161">
        <f t="shared" si="2"/>
        <v>0</v>
      </c>
      <c r="L12" s="162">
        <f t="shared" si="3"/>
        <v>0.423904441955954</v>
      </c>
      <c r="M12" s="162"/>
      <c r="N12" s="162">
        <v>0.576095558044046</v>
      </c>
      <c r="O12" s="163">
        <v>4400</v>
      </c>
      <c r="P12" s="163"/>
      <c r="Q12" s="163">
        <v>650</v>
      </c>
      <c r="R12" s="164" t="e">
        <f t="shared" si="4"/>
        <v>#DIV/0!</v>
      </c>
      <c r="S12" s="165">
        <f t="shared" si="5"/>
        <v>0</v>
      </c>
    </row>
    <row r="13" spans="1:24" ht="11.85" customHeight="1">
      <c r="A13" s="156" t="s">
        <v>846</v>
      </c>
      <c r="B13" s="157">
        <f>(Bovinos!B56)</f>
        <v>11518</v>
      </c>
      <c r="C13" s="158">
        <f>SUM(Bovinos!C57:D57)</f>
        <v>0</v>
      </c>
      <c r="D13" s="158">
        <f>Bovinos!C57</f>
        <v>0</v>
      </c>
      <c r="E13" s="158">
        <f>Bovinos!D57</f>
        <v>0</v>
      </c>
      <c r="F13" s="158">
        <f>Bovinos!E57</f>
        <v>0</v>
      </c>
      <c r="G13" s="158">
        <f>Bovinos!F57</f>
        <v>0</v>
      </c>
      <c r="H13" s="159">
        <f t="shared" si="0"/>
        <v>0</v>
      </c>
      <c r="I13" s="159" t="e">
        <f t="shared" si="1"/>
        <v>#DIV/0!</v>
      </c>
      <c r="J13" s="160">
        <f>1337+3720</f>
        <v>5057</v>
      </c>
      <c r="K13" s="161">
        <f t="shared" si="2"/>
        <v>0</v>
      </c>
      <c r="L13" s="162">
        <f t="shared" si="3"/>
        <v>0.54609112709832108</v>
      </c>
      <c r="M13" s="162"/>
      <c r="N13" s="162">
        <v>0.45390887290167897</v>
      </c>
      <c r="O13" s="163">
        <v>4400</v>
      </c>
      <c r="P13" s="163"/>
      <c r="Q13" s="163">
        <v>650</v>
      </c>
      <c r="R13" s="164" t="e">
        <f t="shared" si="4"/>
        <v>#DIV/0!</v>
      </c>
      <c r="S13" s="165">
        <f t="shared" si="5"/>
        <v>0</v>
      </c>
    </row>
    <row r="14" spans="1:24" ht="11.85" customHeight="1">
      <c r="A14" s="156" t="s">
        <v>847</v>
      </c>
      <c r="B14" s="157">
        <f>(Bovinos!B71)</f>
        <v>34831</v>
      </c>
      <c r="C14" s="158">
        <f>SUM(Bovinos!C72:D72)</f>
        <v>0</v>
      </c>
      <c r="D14" s="158">
        <f>Bovinos!C72</f>
        <v>0</v>
      </c>
      <c r="E14" s="158">
        <f>Bovinos!D72</f>
        <v>0</v>
      </c>
      <c r="F14" s="158">
        <f>Bovinos!E72</f>
        <v>0</v>
      </c>
      <c r="G14" s="158">
        <f>Bovinos!F72</f>
        <v>0</v>
      </c>
      <c r="H14" s="159">
        <f t="shared" si="0"/>
        <v>0</v>
      </c>
      <c r="I14" s="159" t="e">
        <f t="shared" si="1"/>
        <v>#DIV/0!</v>
      </c>
      <c r="J14" s="160">
        <f>3968+10778</f>
        <v>14746</v>
      </c>
      <c r="K14" s="161">
        <f t="shared" si="2"/>
        <v>0</v>
      </c>
      <c r="L14" s="162">
        <f t="shared" si="3"/>
        <v>0.57996233521657303</v>
      </c>
      <c r="M14" s="162"/>
      <c r="N14" s="162">
        <v>0.42003766478342702</v>
      </c>
      <c r="O14" s="163">
        <v>4400</v>
      </c>
      <c r="P14" s="163"/>
      <c r="Q14" s="163">
        <v>650</v>
      </c>
      <c r="R14" s="164" t="e">
        <f t="shared" si="4"/>
        <v>#DIV/0!</v>
      </c>
      <c r="S14" s="165">
        <f t="shared" si="5"/>
        <v>0</v>
      </c>
      <c r="U14" s="165"/>
    </row>
    <row r="15" spans="1:24" ht="11.85" customHeight="1">
      <c r="A15" s="156" t="s">
        <v>848</v>
      </c>
      <c r="B15" s="157">
        <f>(Bovinos!B86)</f>
        <v>10624</v>
      </c>
      <c r="C15" s="158">
        <f>SUM(Bovinos!C87:D87)</f>
        <v>0</v>
      </c>
      <c r="D15" s="158">
        <f>Bovinos!C87</f>
        <v>0</v>
      </c>
      <c r="E15" s="158">
        <f>Bovinos!D87</f>
        <v>0</v>
      </c>
      <c r="F15" s="158">
        <f>Bovinos!E87</f>
        <v>0</v>
      </c>
      <c r="G15" s="158">
        <f>Bovinos!F87</f>
        <v>0</v>
      </c>
      <c r="H15" s="159">
        <f t="shared" si="0"/>
        <v>0</v>
      </c>
      <c r="I15" s="159" t="e">
        <f t="shared" si="1"/>
        <v>#DIV/0!</v>
      </c>
      <c r="J15" s="160">
        <f>1194+5990</f>
        <v>7184</v>
      </c>
      <c r="K15" s="161">
        <f t="shared" si="2"/>
        <v>0</v>
      </c>
      <c r="L15" s="162">
        <f t="shared" si="3"/>
        <v>0.48935719019218005</v>
      </c>
      <c r="M15" s="162"/>
      <c r="N15" s="162">
        <v>0.51064280980781995</v>
      </c>
      <c r="O15" s="163">
        <v>4400</v>
      </c>
      <c r="P15" s="163"/>
      <c r="Q15" s="163">
        <v>650</v>
      </c>
      <c r="R15" s="164" t="e">
        <f t="shared" si="4"/>
        <v>#DIV/0!</v>
      </c>
      <c r="S15" s="165">
        <f t="shared" si="5"/>
        <v>0</v>
      </c>
    </row>
    <row r="16" spans="1:24" ht="11.85" customHeight="1">
      <c r="A16" s="156" t="s">
        <v>849</v>
      </c>
      <c r="B16" s="157">
        <f>(Bovinos!B101)</f>
        <v>35656</v>
      </c>
      <c r="C16" s="158">
        <f>SUM(Bovinos!C102:D102)</f>
        <v>0</v>
      </c>
      <c r="D16" s="158">
        <f>Bovinos!C102</f>
        <v>0</v>
      </c>
      <c r="E16" s="158">
        <f>Bovinos!D102</f>
        <v>0</v>
      </c>
      <c r="F16" s="158">
        <f>Bovinos!E102</f>
        <v>0</v>
      </c>
      <c r="G16" s="158">
        <f>Bovinos!F102</f>
        <v>0</v>
      </c>
      <c r="H16" s="159">
        <f t="shared" si="0"/>
        <v>0</v>
      </c>
      <c r="I16" s="159" t="e">
        <f t="shared" si="1"/>
        <v>#DIV/0!</v>
      </c>
      <c r="J16" s="160">
        <f>3417+11233</f>
        <v>14650</v>
      </c>
      <c r="K16" s="161">
        <f t="shared" si="2"/>
        <v>0</v>
      </c>
      <c r="L16" s="162">
        <f t="shared" si="3"/>
        <v>0.52657917760279904</v>
      </c>
      <c r="M16" s="162"/>
      <c r="N16" s="162">
        <v>0.47342082239720101</v>
      </c>
      <c r="O16" s="163">
        <v>4400</v>
      </c>
      <c r="P16" s="163"/>
      <c r="Q16" s="163">
        <v>650</v>
      </c>
      <c r="R16" s="164" t="e">
        <f t="shared" si="4"/>
        <v>#DIV/0!</v>
      </c>
      <c r="S16" s="165">
        <f t="shared" si="5"/>
        <v>0</v>
      </c>
    </row>
    <row r="17" spans="1:19" ht="11.85" customHeight="1">
      <c r="A17" s="156" t="s">
        <v>850</v>
      </c>
      <c r="B17" s="157">
        <f>(Bovinos!B116)</f>
        <v>17417</v>
      </c>
      <c r="C17" s="158">
        <f>SUM(Bovinos!C117:D117)</f>
        <v>0</v>
      </c>
      <c r="D17" s="158">
        <f>Bovinos!C117</f>
        <v>0</v>
      </c>
      <c r="E17" s="158">
        <f>Bovinos!D117</f>
        <v>0</v>
      </c>
      <c r="F17" s="158">
        <f>Bovinos!E117</f>
        <v>0</v>
      </c>
      <c r="G17" s="158">
        <f>Bovinos!F117</f>
        <v>0</v>
      </c>
      <c r="H17" s="159">
        <f t="shared" si="0"/>
        <v>0</v>
      </c>
      <c r="I17" s="159" t="e">
        <f t="shared" si="1"/>
        <v>#DIV/0!</v>
      </c>
      <c r="J17" s="160">
        <f>2137+8134</f>
        <v>10271</v>
      </c>
      <c r="K17" s="161">
        <f t="shared" si="2"/>
        <v>0</v>
      </c>
      <c r="L17" s="162">
        <f t="shared" si="3"/>
        <v>1</v>
      </c>
      <c r="M17" s="162"/>
      <c r="N17" s="162">
        <v>0</v>
      </c>
      <c r="O17" s="163">
        <v>4462.4746450304301</v>
      </c>
      <c r="P17" s="163"/>
      <c r="Q17" s="163">
        <v>650</v>
      </c>
      <c r="R17" s="164" t="e">
        <f t="shared" si="4"/>
        <v>#DIV/0!</v>
      </c>
      <c r="S17" s="165">
        <f t="shared" si="5"/>
        <v>0</v>
      </c>
    </row>
    <row r="18" spans="1:19" ht="11.85" customHeight="1">
      <c r="A18" s="156" t="s">
        <v>851</v>
      </c>
      <c r="B18" s="157">
        <f>(Bovinos!B131)</f>
        <v>23606</v>
      </c>
      <c r="C18" s="158">
        <f>SUM(Bovinos!C132:D132)</f>
        <v>0</v>
      </c>
      <c r="D18" s="158">
        <f>Bovinos!C132</f>
        <v>0</v>
      </c>
      <c r="E18" s="158">
        <f>Bovinos!D132</f>
        <v>0</v>
      </c>
      <c r="F18" s="158">
        <f>Bovinos!E132</f>
        <v>0</v>
      </c>
      <c r="G18" s="158">
        <f>Bovinos!F132</f>
        <v>0</v>
      </c>
      <c r="H18" s="159">
        <f t="shared" si="0"/>
        <v>0</v>
      </c>
      <c r="I18" s="159" t="e">
        <f t="shared" si="1"/>
        <v>#DIV/0!</v>
      </c>
      <c r="J18" s="160">
        <f>11858+2287</f>
        <v>14145</v>
      </c>
      <c r="K18" s="161">
        <f t="shared" si="2"/>
        <v>0</v>
      </c>
      <c r="L18" s="162">
        <f t="shared" si="3"/>
        <v>0.58067232170907901</v>
      </c>
      <c r="M18" s="162"/>
      <c r="N18" s="162">
        <v>0.41932767829092099</v>
      </c>
      <c r="O18" s="163">
        <v>4400</v>
      </c>
      <c r="P18" s="163"/>
      <c r="Q18" s="163">
        <v>650</v>
      </c>
      <c r="R18" s="164" t="e">
        <f t="shared" si="4"/>
        <v>#DIV/0!</v>
      </c>
      <c r="S18" s="165">
        <f t="shared" si="5"/>
        <v>0</v>
      </c>
    </row>
    <row r="19" spans="1:19" ht="11.85" customHeight="1">
      <c r="A19" s="156" t="s">
        <v>852</v>
      </c>
      <c r="B19" s="157">
        <f>(Bovinos!B146)</f>
        <v>8736</v>
      </c>
      <c r="C19" s="158">
        <f>SUM(Bovinos!C147:D147)</f>
        <v>0</v>
      </c>
      <c r="D19" s="158">
        <f>Bovinos!C147</f>
        <v>0</v>
      </c>
      <c r="E19" s="158">
        <f>Bovinos!D147</f>
        <v>0</v>
      </c>
      <c r="F19" s="158">
        <f>Bovinos!E147</f>
        <v>0</v>
      </c>
      <c r="G19" s="158">
        <f>Bovinos!F147</f>
        <v>0</v>
      </c>
      <c r="H19" s="159">
        <f t="shared" si="0"/>
        <v>0</v>
      </c>
      <c r="I19" s="159" t="e">
        <f t="shared" si="1"/>
        <v>#DIV/0!</v>
      </c>
      <c r="J19" s="160">
        <f>4493+694</f>
        <v>5187</v>
      </c>
      <c r="K19" s="161">
        <f t="shared" si="2"/>
        <v>0</v>
      </c>
      <c r="L19" s="162">
        <f t="shared" si="3"/>
        <v>7.3389874068362948E-2</v>
      </c>
      <c r="M19" s="162"/>
      <c r="N19" s="162">
        <v>0.92661012593163705</v>
      </c>
      <c r="O19" s="163">
        <v>4400</v>
      </c>
      <c r="P19" s="163"/>
      <c r="Q19" s="163">
        <v>650</v>
      </c>
      <c r="R19" s="164" t="e">
        <f t="shared" si="4"/>
        <v>#DIV/0!</v>
      </c>
      <c r="S19" s="165">
        <f t="shared" si="5"/>
        <v>0</v>
      </c>
    </row>
    <row r="20" spans="1:19" ht="11.85" customHeight="1">
      <c r="A20" s="156" t="s">
        <v>853</v>
      </c>
      <c r="B20" s="157">
        <f>(Bovinos!B161)</f>
        <v>11028</v>
      </c>
      <c r="C20" s="158">
        <f>SUM(Bovinos!C162:D162)</f>
        <v>0</v>
      </c>
      <c r="D20" s="158">
        <f>Bovinos!C162</f>
        <v>0</v>
      </c>
      <c r="E20" s="158">
        <f>Bovinos!D162</f>
        <v>0</v>
      </c>
      <c r="F20" s="158">
        <f>Bovinos!E162</f>
        <v>0</v>
      </c>
      <c r="G20" s="158">
        <f>Bovinos!F162</f>
        <v>0</v>
      </c>
      <c r="H20" s="159">
        <f t="shared" si="0"/>
        <v>0</v>
      </c>
      <c r="I20" s="159" t="e">
        <f t="shared" si="1"/>
        <v>#DIV/0!</v>
      </c>
      <c r="J20" s="160">
        <f>1173+5097</f>
        <v>6270</v>
      </c>
      <c r="K20" s="161">
        <f t="shared" si="2"/>
        <v>0</v>
      </c>
      <c r="L20" s="162">
        <f t="shared" si="3"/>
        <v>0</v>
      </c>
      <c r="M20" s="162"/>
      <c r="N20" s="162">
        <v>1</v>
      </c>
      <c r="O20" s="163">
        <v>4400</v>
      </c>
      <c r="P20" s="163"/>
      <c r="Q20" s="163">
        <v>626.42369020501098</v>
      </c>
      <c r="R20" s="164" t="e">
        <f t="shared" si="4"/>
        <v>#DIV/0!</v>
      </c>
      <c r="S20" s="165">
        <f t="shared" si="5"/>
        <v>0</v>
      </c>
    </row>
    <row r="21" spans="1:19" ht="11.85" customHeight="1">
      <c r="A21" s="156" t="s">
        <v>854</v>
      </c>
      <c r="B21" s="157">
        <f>(Bovinos!B176)</f>
        <v>13450</v>
      </c>
      <c r="C21" s="158">
        <f>SUM(Bovinos!C177:D177)</f>
        <v>0</v>
      </c>
      <c r="D21" s="158">
        <f>Bovinos!C177</f>
        <v>0</v>
      </c>
      <c r="E21" s="158">
        <f>Bovinos!D177</f>
        <v>0</v>
      </c>
      <c r="F21" s="158">
        <f>Bovinos!E177</f>
        <v>0</v>
      </c>
      <c r="G21" s="158">
        <f>Bovinos!F177</f>
        <v>0</v>
      </c>
      <c r="H21" s="159">
        <f t="shared" si="0"/>
        <v>0</v>
      </c>
      <c r="I21" s="159" t="e">
        <f t="shared" si="1"/>
        <v>#DIV/0!</v>
      </c>
      <c r="J21" s="160">
        <f>5501+862</f>
        <v>6363</v>
      </c>
      <c r="K21" s="161">
        <f t="shared" si="2"/>
        <v>0</v>
      </c>
      <c r="L21" s="162">
        <f t="shared" si="3"/>
        <v>0.58857142857142897</v>
      </c>
      <c r="M21" s="162"/>
      <c r="N21" s="162">
        <v>0.41142857142857098</v>
      </c>
      <c r="O21" s="163">
        <v>4400</v>
      </c>
      <c r="P21" s="163"/>
      <c r="Q21" s="163">
        <v>650</v>
      </c>
      <c r="R21" s="164" t="e">
        <f t="shared" si="4"/>
        <v>#DIV/0!</v>
      </c>
      <c r="S21" s="165">
        <f t="shared" si="5"/>
        <v>0</v>
      </c>
    </row>
    <row r="22" spans="1:19" ht="11.85" customHeight="1">
      <c r="A22" s="166" t="s">
        <v>855</v>
      </c>
      <c r="B22" s="157">
        <f>(Bovinos!B191)</f>
        <v>45979</v>
      </c>
      <c r="C22" s="158">
        <f>SUM(Bovinos!C192:D192)</f>
        <v>0</v>
      </c>
      <c r="D22" s="158">
        <f>Bovinos!C192</f>
        <v>0</v>
      </c>
      <c r="E22" s="158">
        <f>Bovinos!D192</f>
        <v>0</v>
      </c>
      <c r="F22" s="158">
        <f>Bovinos!E192</f>
        <v>0</v>
      </c>
      <c r="G22" s="158">
        <f>Bovinos!F192</f>
        <v>0</v>
      </c>
      <c r="H22" s="159">
        <f t="shared" si="0"/>
        <v>0</v>
      </c>
      <c r="I22" s="159" t="e">
        <f t="shared" si="1"/>
        <v>#DIV/0!</v>
      </c>
      <c r="J22" s="160">
        <f>5235+19472</f>
        <v>24707</v>
      </c>
      <c r="K22" s="161">
        <f t="shared" si="2"/>
        <v>0</v>
      </c>
      <c r="L22" s="162">
        <f t="shared" si="3"/>
        <v>0.23142254827557096</v>
      </c>
      <c r="M22" s="162"/>
      <c r="N22" s="162">
        <v>0.76857745172442904</v>
      </c>
      <c r="O22" s="163">
        <v>4400</v>
      </c>
      <c r="P22" s="163"/>
      <c r="Q22" s="163">
        <v>650</v>
      </c>
      <c r="R22" s="164" t="e">
        <f t="shared" si="4"/>
        <v>#DIV/0!</v>
      </c>
      <c r="S22" s="165">
        <f t="shared" si="5"/>
        <v>0</v>
      </c>
    </row>
    <row r="23" spans="1:19" ht="11.85" customHeight="1">
      <c r="A23" s="166" t="s">
        <v>856</v>
      </c>
      <c r="B23" s="157">
        <f>(Bovinos!B206)</f>
        <v>11437</v>
      </c>
      <c r="C23" s="158">
        <f>SUM(Bovinos!C207:D207)</f>
        <v>0</v>
      </c>
      <c r="D23" s="158">
        <f>Bovinos!C207</f>
        <v>0</v>
      </c>
      <c r="E23" s="158">
        <f>Bovinos!D207</f>
        <v>0</v>
      </c>
      <c r="F23" s="158">
        <f>Bovinos!E207</f>
        <v>0</v>
      </c>
      <c r="G23" s="158">
        <f>Bovinos!F207</f>
        <v>0</v>
      </c>
      <c r="H23" s="159">
        <f t="shared" si="0"/>
        <v>0</v>
      </c>
      <c r="I23" s="159" t="e">
        <f t="shared" si="1"/>
        <v>#DIV/0!</v>
      </c>
      <c r="J23" s="160">
        <f>1200+4451</f>
        <v>5651</v>
      </c>
      <c r="K23" s="161">
        <f t="shared" si="2"/>
        <v>0</v>
      </c>
      <c r="L23" s="162">
        <f t="shared" si="3"/>
        <v>0.45559748427672997</v>
      </c>
      <c r="M23" s="162"/>
      <c r="N23" s="162">
        <v>0.54440251572327003</v>
      </c>
      <c r="O23" s="163">
        <v>4400</v>
      </c>
      <c r="P23" s="163"/>
      <c r="Q23" s="163">
        <v>650</v>
      </c>
      <c r="R23" s="164" t="e">
        <f t="shared" si="4"/>
        <v>#DIV/0!</v>
      </c>
      <c r="S23" s="165">
        <f t="shared" si="5"/>
        <v>0</v>
      </c>
    </row>
    <row r="24" spans="1:19" ht="11.85" customHeight="1">
      <c r="A24" s="166" t="s">
        <v>857</v>
      </c>
      <c r="B24" s="157">
        <f>(Bovinos!B221)</f>
        <v>8000</v>
      </c>
      <c r="C24" s="158">
        <f>SUM(Bovinos!C222:D222)</f>
        <v>0</v>
      </c>
      <c r="D24" s="158">
        <f>Bovinos!C222</f>
        <v>0</v>
      </c>
      <c r="E24" s="158">
        <f>Bovinos!D222</f>
        <v>0</v>
      </c>
      <c r="F24" s="158">
        <f>Bovinos!E222</f>
        <v>0</v>
      </c>
      <c r="G24" s="158">
        <f>Bovinos!F222</f>
        <v>0</v>
      </c>
      <c r="H24" s="159">
        <f t="shared" si="0"/>
        <v>0</v>
      </c>
      <c r="I24" s="159" t="e">
        <f t="shared" si="1"/>
        <v>#DIV/0!</v>
      </c>
      <c r="J24" s="160">
        <f>646+3716</f>
        <v>4362</v>
      </c>
      <c r="K24" s="161">
        <f t="shared" si="2"/>
        <v>0</v>
      </c>
      <c r="L24" s="162">
        <f t="shared" si="3"/>
        <v>0.74409785932721695</v>
      </c>
      <c r="M24" s="162"/>
      <c r="N24" s="162">
        <v>0.255902140672783</v>
      </c>
      <c r="O24" s="163">
        <v>4400</v>
      </c>
      <c r="P24" s="163"/>
      <c r="Q24" s="163">
        <v>650</v>
      </c>
      <c r="R24" s="164" t="e">
        <f t="shared" si="4"/>
        <v>#DIV/0!</v>
      </c>
      <c r="S24" s="165">
        <f t="shared" si="5"/>
        <v>0</v>
      </c>
    </row>
    <row r="25" spans="1:19" ht="12.75">
      <c r="A25" s="167" t="s">
        <v>858</v>
      </c>
      <c r="B25" s="168">
        <f t="shared" ref="B25:G25" si="6">SUM(B10:B24)</f>
        <v>270560</v>
      </c>
      <c r="C25" s="168">
        <f t="shared" si="6"/>
        <v>0</v>
      </c>
      <c r="D25" s="168">
        <f t="shared" si="6"/>
        <v>0</v>
      </c>
      <c r="E25" s="168">
        <f t="shared" si="6"/>
        <v>0</v>
      </c>
      <c r="F25" s="168">
        <f t="shared" si="6"/>
        <v>0</v>
      </c>
      <c r="G25" s="168">
        <f t="shared" si="6"/>
        <v>0</v>
      </c>
      <c r="H25" s="168">
        <f t="shared" si="0"/>
        <v>0</v>
      </c>
      <c r="I25" s="168" t="e">
        <f t="shared" si="1"/>
        <v>#DIV/0!</v>
      </c>
      <c r="J25" s="168">
        <f>SUM(J10:J19)</f>
        <v>89930</v>
      </c>
      <c r="K25" s="168">
        <f>SUM(K10:K19)</f>
        <v>0</v>
      </c>
      <c r="L25" s="169"/>
      <c r="M25" s="169"/>
      <c r="N25" s="169"/>
      <c r="O25" s="169"/>
      <c r="P25" s="169"/>
      <c r="Q25" s="169"/>
      <c r="R25" s="170"/>
      <c r="S25" s="168">
        <f>SUM(S10:S19)</f>
        <v>0</v>
      </c>
    </row>
    <row r="27" spans="1:19" ht="22.5" customHeight="1">
      <c r="C27" s="171"/>
      <c r="D27" s="171"/>
      <c r="E27" s="171"/>
      <c r="F27" s="171"/>
      <c r="G27" s="171"/>
      <c r="H27" s="172"/>
      <c r="J27" s="172"/>
      <c r="N27" s="211" t="s">
        <v>859</v>
      </c>
      <c r="O27" s="173" t="s">
        <v>860</v>
      </c>
      <c r="P27" s="173" t="s">
        <v>861</v>
      </c>
      <c r="Q27" s="173" t="s">
        <v>862</v>
      </c>
    </row>
    <row r="28" spans="1:19">
      <c r="C28" s="171"/>
      <c r="D28" s="171"/>
      <c r="E28" s="171"/>
      <c r="F28" s="171"/>
      <c r="G28" s="171"/>
      <c r="H28" s="172"/>
      <c r="J28" s="172"/>
      <c r="N28" s="211"/>
      <c r="O28" s="174">
        <f>AVERAGE(O10:O24)/305</f>
        <v>14.439885168312662</v>
      </c>
      <c r="P28" s="174" t="e">
        <f>AVERAGE(P10:P24)/305</f>
        <v>#DIV/0!</v>
      </c>
      <c r="Q28" s="174">
        <f>AVERAGE(Q10:Q24)/180</f>
        <v>3.6023791445203743</v>
      </c>
    </row>
  </sheetData>
  <mergeCells count="16">
    <mergeCell ref="N27:N28"/>
    <mergeCell ref="L7:N7"/>
    <mergeCell ref="O7:Q7"/>
    <mergeCell ref="R7:R8"/>
    <mergeCell ref="S7:S8"/>
    <mergeCell ref="A9:S9"/>
    <mergeCell ref="G7:G8"/>
    <mergeCell ref="H7:H8"/>
    <mergeCell ref="I7:I8"/>
    <mergeCell ref="J7:J8"/>
    <mergeCell ref="K7:K8"/>
    <mergeCell ref="B7:B8"/>
    <mergeCell ref="C7:C8"/>
    <mergeCell ref="D7:D8"/>
    <mergeCell ref="E7:E8"/>
    <mergeCell ref="F7:F8"/>
  </mergeCells>
  <pageMargins left="0" right="0" top="0.39374999999999999" bottom="0.39374999999999999" header="0" footer="0"/>
  <pageSetup paperSize="9" firstPageNumber="0" pageOrder="overThenDown" orientation="landscape" horizontalDpi="300" verticalDpi="300"/>
  <headerFooter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showGridLines="0" zoomScale="110" zoomScaleNormal="110" workbookViewId="0">
      <selection activeCell="J3" sqref="J3"/>
    </sheetView>
  </sheetViews>
  <sheetFormatPr defaultColWidth="14.1640625" defaultRowHeight="11.25"/>
  <cols>
    <col min="1" max="1" width="34.33203125" customWidth="1"/>
  </cols>
  <sheetData>
    <row r="1" spans="1:19">
      <c r="A1" s="146" t="s">
        <v>0</v>
      </c>
      <c r="B1" s="4"/>
      <c r="C1" s="4"/>
      <c r="D1" s="4"/>
      <c r="E1" s="149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>
      <c r="A2" s="146" t="s">
        <v>2</v>
      </c>
      <c r="B2" s="4"/>
      <c r="C2" s="4"/>
      <c r="D2" s="4"/>
      <c r="E2" s="149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>
      <c r="A3" s="146" t="s">
        <v>3</v>
      </c>
      <c r="B3" s="4"/>
      <c r="C3" s="4"/>
      <c r="D3" s="4"/>
      <c r="E3" s="14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>
      <c r="A4" s="4"/>
      <c r="B4" s="4"/>
      <c r="C4" s="4"/>
      <c r="D4" s="4"/>
      <c r="E4" s="149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ht="15.75">
      <c r="A5" s="175" t="s">
        <v>863</v>
      </c>
      <c r="B5" s="176"/>
      <c r="C5" s="176"/>
      <c r="D5" s="176"/>
      <c r="E5" s="177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4"/>
      <c r="R5" s="4"/>
      <c r="S5" s="4"/>
    </row>
    <row r="6" spans="1:19">
      <c r="A6" s="4"/>
      <c r="B6" s="4"/>
      <c r="C6" s="4"/>
      <c r="D6" s="4"/>
      <c r="E6" s="149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>
      <c r="B7" s="178" t="s">
        <v>864</v>
      </c>
      <c r="C7" s="178" t="s">
        <v>865</v>
      </c>
      <c r="D7" s="178" t="s">
        <v>866</v>
      </c>
      <c r="E7" s="178" t="s">
        <v>867</v>
      </c>
      <c r="F7" s="178" t="s">
        <v>868</v>
      </c>
      <c r="G7" s="178" t="s">
        <v>869</v>
      </c>
      <c r="H7" s="178" t="s">
        <v>870</v>
      </c>
      <c r="I7" s="178" t="s">
        <v>871</v>
      </c>
      <c r="J7" s="178" t="s">
        <v>872</v>
      </c>
      <c r="K7" s="178" t="s">
        <v>873</v>
      </c>
      <c r="L7" s="178" t="s">
        <v>874</v>
      </c>
      <c r="M7" s="178" t="s">
        <v>875</v>
      </c>
      <c r="N7" s="178" t="s">
        <v>876</v>
      </c>
      <c r="O7" s="4"/>
      <c r="P7" s="179"/>
      <c r="Q7" s="179"/>
      <c r="R7" s="179"/>
      <c r="S7" s="179"/>
    </row>
    <row r="8" spans="1:19">
      <c r="A8" s="180" t="s">
        <v>877</v>
      </c>
      <c r="B8" s="181">
        <v>8.6544200043903702E-2</v>
      </c>
      <c r="C8" s="181">
        <v>7.7674813416959795E-2</v>
      </c>
      <c r="D8" s="181">
        <v>8.0282708146031001E-2</v>
      </c>
      <c r="E8" s="181">
        <v>7.3734345534179804E-2</v>
      </c>
      <c r="F8" s="181">
        <v>7.4091824069267495E-2</v>
      </c>
      <c r="G8" s="181">
        <v>7.5793947731262704E-2</v>
      </c>
      <c r="H8" s="181">
        <v>8.4734976955082197E-2</v>
      </c>
      <c r="I8" s="181">
        <v>8.9565994912743294E-2</v>
      </c>
      <c r="J8" s="181">
        <v>8.7985708764051498E-2</v>
      </c>
      <c r="K8" s="181">
        <v>8.9778534489489498E-2</v>
      </c>
      <c r="L8" s="181">
        <v>8.8371401538179906E-2</v>
      </c>
      <c r="M8" s="181">
        <v>9.1441544398849203E-2</v>
      </c>
      <c r="N8" s="181"/>
      <c r="O8" s="179"/>
      <c r="P8" s="179"/>
      <c r="Q8" s="179"/>
      <c r="R8" s="179"/>
      <c r="S8" s="179"/>
    </row>
    <row r="9" spans="1:19" ht="12.75">
      <c r="A9" s="180" t="s">
        <v>878</v>
      </c>
      <c r="B9" s="182">
        <v>5.7437380370005502E-2</v>
      </c>
      <c r="C9" s="182">
        <v>5.3815885681922901E-2</v>
      </c>
      <c r="D9" s="182">
        <v>6.3671509380214E-2</v>
      </c>
      <c r="E9" s="182">
        <v>6.9588186896462095E-2</v>
      </c>
      <c r="F9" s="182">
        <v>0.18014190364013699</v>
      </c>
      <c r="G9" s="182">
        <v>0.10745516652433799</v>
      </c>
      <c r="H9" s="182">
        <v>0</v>
      </c>
      <c r="I9" s="182">
        <v>0</v>
      </c>
      <c r="J9" s="182">
        <v>0</v>
      </c>
      <c r="K9" s="182">
        <v>0</v>
      </c>
      <c r="L9" s="182">
        <v>0</v>
      </c>
      <c r="M9" s="182">
        <v>0</v>
      </c>
      <c r="N9" s="182">
        <f>+N11/N10-1</f>
        <v>4.0885265145469196E-2</v>
      </c>
      <c r="O9" s="179"/>
      <c r="P9" s="183"/>
      <c r="Q9" s="179"/>
      <c r="R9" s="179"/>
      <c r="S9" s="179"/>
    </row>
    <row r="10" spans="1:19" ht="12.75">
      <c r="A10" s="180" t="s">
        <v>879</v>
      </c>
      <c r="B10" s="184">
        <v>42154.659485267002</v>
      </c>
      <c r="C10" s="184">
        <v>37834.485829350902</v>
      </c>
      <c r="D10" s="184">
        <v>39104.760604802599</v>
      </c>
      <c r="E10" s="184">
        <v>35915.130381765099</v>
      </c>
      <c r="F10" s="184">
        <v>36089.253961534399</v>
      </c>
      <c r="G10" s="184">
        <v>36918.3383292543</v>
      </c>
      <c r="H10" s="184">
        <v>41273.408249442298</v>
      </c>
      <c r="I10" s="184">
        <v>43626.540138917298</v>
      </c>
      <c r="J10" s="184">
        <v>42856.801387463202</v>
      </c>
      <c r="K10" s="184">
        <v>43730.065660908702</v>
      </c>
      <c r="L10" s="184">
        <v>43044.6677904233</v>
      </c>
      <c r="M10" s="184">
        <v>44540.098180870998</v>
      </c>
      <c r="N10" s="184">
        <v>487088.21</v>
      </c>
      <c r="O10" s="4"/>
      <c r="P10" s="183"/>
      <c r="Q10" s="4"/>
      <c r="R10" s="4"/>
      <c r="S10" s="4"/>
    </row>
    <row r="11" spans="1:19" ht="12.75">
      <c r="A11" s="180" t="s">
        <v>880</v>
      </c>
      <c r="B11" s="184">
        <f t="shared" ref="B11:M11" si="0">+B10*(1+B9)</f>
        <v>44575.912696490341</v>
      </c>
      <c r="C11" s="184">
        <f t="shared" si="0"/>
        <v>39870.582193577582</v>
      </c>
      <c r="D11" s="184">
        <f t="shared" si="0"/>
        <v>41594.619736462315</v>
      </c>
      <c r="E11" s="184">
        <f t="shared" si="0"/>
        <v>38414.399187182171</v>
      </c>
      <c r="F11" s="184">
        <f t="shared" si="0"/>
        <v>42590.440871117564</v>
      </c>
      <c r="G11" s="184">
        <f t="shared" si="0"/>
        <v>40885.40452222617</v>
      </c>
      <c r="H11" s="184">
        <f t="shared" si="0"/>
        <v>41273.408249442298</v>
      </c>
      <c r="I11" s="184">
        <f t="shared" si="0"/>
        <v>43626.540138917298</v>
      </c>
      <c r="J11" s="184">
        <f t="shared" si="0"/>
        <v>42856.801387463202</v>
      </c>
      <c r="K11" s="184">
        <f t="shared" si="0"/>
        <v>43730.065660908702</v>
      </c>
      <c r="L11" s="184">
        <f t="shared" si="0"/>
        <v>43044.6677904233</v>
      </c>
      <c r="M11" s="184">
        <f t="shared" si="0"/>
        <v>44540.098180870998</v>
      </c>
      <c r="N11" s="184">
        <f>+SUM(B11:M11)</f>
        <v>507002.94061508199</v>
      </c>
      <c r="O11" s="4"/>
      <c r="P11" s="183"/>
      <c r="Q11" s="4"/>
      <c r="R11" s="4"/>
      <c r="S11" s="4"/>
    </row>
    <row r="12" spans="1:19" ht="12.75">
      <c r="A12" s="183"/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</row>
    <row r="13" spans="1:19" s="188" customFormat="1" ht="38.1" customHeight="1">
      <c r="A13" s="185"/>
      <c r="B13" s="186" t="s">
        <v>843</v>
      </c>
      <c r="C13" s="186" t="s">
        <v>844</v>
      </c>
      <c r="D13" s="186" t="s">
        <v>845</v>
      </c>
      <c r="E13" s="186" t="s">
        <v>846</v>
      </c>
      <c r="F13" s="186" t="s">
        <v>847</v>
      </c>
      <c r="G13" s="186" t="s">
        <v>848</v>
      </c>
      <c r="H13" s="186" t="s">
        <v>849</v>
      </c>
      <c r="I13" s="186" t="s">
        <v>850</v>
      </c>
      <c r="J13" s="186" t="s">
        <v>851</v>
      </c>
      <c r="K13" s="186" t="s">
        <v>852</v>
      </c>
      <c r="L13" s="186" t="s">
        <v>853</v>
      </c>
      <c r="M13" s="186" t="s">
        <v>854</v>
      </c>
      <c r="N13" s="187" t="s">
        <v>855</v>
      </c>
      <c r="O13" s="187" t="s">
        <v>856</v>
      </c>
      <c r="P13" s="187" t="s">
        <v>857</v>
      </c>
      <c r="Q13" s="186" t="s">
        <v>881</v>
      </c>
      <c r="R13" s="186" t="s">
        <v>882</v>
      </c>
      <c r="S13" s="186" t="s">
        <v>883</v>
      </c>
    </row>
    <row r="14" spans="1:19">
      <c r="A14" s="180" t="s">
        <v>884</v>
      </c>
      <c r="B14" s="184"/>
      <c r="C14" s="184"/>
      <c r="D14" s="184"/>
      <c r="E14" s="184"/>
      <c r="F14" s="184"/>
      <c r="G14" s="184">
        <v>1700</v>
      </c>
      <c r="H14" s="184">
        <v>933</v>
      </c>
      <c r="I14" s="184"/>
      <c r="J14" s="184">
        <v>242</v>
      </c>
      <c r="K14" s="184"/>
      <c r="L14" s="184"/>
      <c r="M14" s="184"/>
      <c r="N14" s="184"/>
      <c r="O14" s="184"/>
      <c r="P14" s="184"/>
      <c r="Q14" s="184">
        <f t="shared" ref="Q14:Q37" si="1">SUM(B14:P14)</f>
        <v>2875</v>
      </c>
      <c r="R14" s="181">
        <v>0.04</v>
      </c>
      <c r="S14" s="184">
        <f t="shared" ref="S14:S37" si="2">Q14*R14+Q14</f>
        <v>2990</v>
      </c>
    </row>
    <row r="15" spans="1:19">
      <c r="A15" s="180" t="s">
        <v>885</v>
      </c>
      <c r="B15" s="184"/>
      <c r="C15" s="184"/>
      <c r="D15" s="184"/>
      <c r="E15" s="184"/>
      <c r="F15" s="184"/>
      <c r="G15" s="184">
        <v>35</v>
      </c>
      <c r="H15" s="184">
        <v>1510</v>
      </c>
      <c r="I15" s="184"/>
      <c r="J15" s="184">
        <v>172</v>
      </c>
      <c r="K15" s="184"/>
      <c r="L15" s="184"/>
      <c r="M15" s="184"/>
      <c r="N15" s="184"/>
      <c r="O15" s="184"/>
      <c r="P15" s="184"/>
      <c r="Q15" s="184">
        <f t="shared" si="1"/>
        <v>1717</v>
      </c>
      <c r="R15" s="181">
        <v>0.2</v>
      </c>
      <c r="S15" s="184">
        <f t="shared" si="2"/>
        <v>2060.4</v>
      </c>
    </row>
    <row r="16" spans="1:19">
      <c r="A16" s="180" t="s">
        <v>886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>
        <f t="shared" si="1"/>
        <v>0</v>
      </c>
      <c r="R16" s="181"/>
      <c r="S16" s="184">
        <f t="shared" si="2"/>
        <v>0</v>
      </c>
    </row>
    <row r="17" spans="1:19">
      <c r="A17" s="180" t="s">
        <v>887</v>
      </c>
      <c r="B17" s="184">
        <v>1583</v>
      </c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>
        <f t="shared" si="1"/>
        <v>1583</v>
      </c>
      <c r="R17" s="181">
        <v>0.4</v>
      </c>
      <c r="S17" s="184">
        <f t="shared" si="2"/>
        <v>2216.1999999999998</v>
      </c>
    </row>
    <row r="18" spans="1:19">
      <c r="A18" s="180" t="s">
        <v>888</v>
      </c>
      <c r="B18" s="184"/>
      <c r="C18" s="184"/>
      <c r="D18" s="184"/>
      <c r="E18" s="184"/>
      <c r="F18" s="184"/>
      <c r="G18" s="184"/>
      <c r="H18" s="184"/>
      <c r="I18" s="184"/>
      <c r="J18" s="184"/>
      <c r="K18" s="184">
        <v>716</v>
      </c>
      <c r="L18" s="184"/>
      <c r="M18" s="184"/>
      <c r="N18" s="184"/>
      <c r="O18" s="184"/>
      <c r="P18" s="184"/>
      <c r="Q18" s="184">
        <f t="shared" si="1"/>
        <v>716</v>
      </c>
      <c r="R18" s="181">
        <v>0.3</v>
      </c>
      <c r="S18" s="184">
        <f t="shared" si="2"/>
        <v>930.8</v>
      </c>
    </row>
    <row r="19" spans="1:19">
      <c r="A19" s="180" t="s">
        <v>889</v>
      </c>
      <c r="B19" s="184">
        <v>21</v>
      </c>
      <c r="C19" s="184"/>
      <c r="D19" s="184">
        <v>159</v>
      </c>
      <c r="E19" s="184"/>
      <c r="F19" s="184"/>
      <c r="G19" s="184">
        <v>834</v>
      </c>
      <c r="H19" s="184"/>
      <c r="I19" s="184">
        <v>96</v>
      </c>
      <c r="J19" s="184"/>
      <c r="K19" s="184">
        <v>3095</v>
      </c>
      <c r="L19" s="184"/>
      <c r="M19" s="184"/>
      <c r="N19" s="184"/>
      <c r="O19" s="184"/>
      <c r="P19" s="184"/>
      <c r="Q19" s="184">
        <f t="shared" si="1"/>
        <v>4205</v>
      </c>
      <c r="R19" s="181">
        <v>0.05</v>
      </c>
      <c r="S19" s="184">
        <f t="shared" si="2"/>
        <v>4415.25</v>
      </c>
    </row>
    <row r="20" spans="1:19">
      <c r="A20" s="180" t="s">
        <v>890</v>
      </c>
      <c r="B20" s="184">
        <v>2637</v>
      </c>
      <c r="C20" s="184">
        <v>724</v>
      </c>
      <c r="D20" s="184"/>
      <c r="E20" s="184"/>
      <c r="F20" s="184">
        <v>34</v>
      </c>
      <c r="G20" s="184">
        <v>5460</v>
      </c>
      <c r="H20" s="184">
        <v>2287</v>
      </c>
      <c r="I20" s="184">
        <v>3185</v>
      </c>
      <c r="J20" s="184">
        <v>284</v>
      </c>
      <c r="K20" s="184">
        <v>3319</v>
      </c>
      <c r="L20" s="184"/>
      <c r="M20" s="184"/>
      <c r="N20" s="184"/>
      <c r="O20" s="184"/>
      <c r="P20" s="184"/>
      <c r="Q20" s="184">
        <f t="shared" si="1"/>
        <v>17930</v>
      </c>
      <c r="R20" s="181">
        <v>4.2500000000000003E-2</v>
      </c>
      <c r="S20" s="184">
        <f t="shared" si="2"/>
        <v>18692.025000000001</v>
      </c>
    </row>
    <row r="21" spans="1:19">
      <c r="A21" s="180" t="s">
        <v>891</v>
      </c>
      <c r="B21" s="184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>
        <f t="shared" si="1"/>
        <v>0</v>
      </c>
      <c r="R21" s="181"/>
      <c r="S21" s="184">
        <f t="shared" si="2"/>
        <v>0</v>
      </c>
    </row>
    <row r="22" spans="1:19">
      <c r="A22" s="180" t="s">
        <v>892</v>
      </c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>
        <f t="shared" si="1"/>
        <v>0</v>
      </c>
      <c r="R22" s="181"/>
      <c r="S22" s="184">
        <f t="shared" si="2"/>
        <v>0</v>
      </c>
    </row>
    <row r="23" spans="1:19">
      <c r="A23" s="180" t="s">
        <v>893</v>
      </c>
      <c r="B23" s="184"/>
      <c r="C23" s="184"/>
      <c r="D23" s="184"/>
      <c r="E23" s="184"/>
      <c r="F23" s="184"/>
      <c r="G23" s="184"/>
      <c r="H23" s="184"/>
      <c r="I23" s="184"/>
      <c r="J23" s="184">
        <v>200</v>
      </c>
      <c r="K23" s="184"/>
      <c r="L23" s="184"/>
      <c r="M23" s="184"/>
      <c r="N23" s="184"/>
      <c r="O23" s="184"/>
      <c r="P23" s="184"/>
      <c r="Q23" s="184">
        <f t="shared" si="1"/>
        <v>200</v>
      </c>
      <c r="R23" s="181">
        <v>0.25</v>
      </c>
      <c r="S23" s="184">
        <f t="shared" si="2"/>
        <v>250</v>
      </c>
    </row>
    <row r="24" spans="1:19">
      <c r="A24" s="180" t="s">
        <v>894</v>
      </c>
      <c r="B24" s="184"/>
      <c r="C24" s="184"/>
      <c r="D24" s="184"/>
      <c r="E24" s="184"/>
      <c r="F24" s="184"/>
      <c r="G24" s="184"/>
      <c r="H24" s="184"/>
      <c r="I24" s="184">
        <v>1820</v>
      </c>
      <c r="J24" s="184"/>
      <c r="K24" s="184"/>
      <c r="L24" s="184"/>
      <c r="M24" s="184"/>
      <c r="N24" s="184"/>
      <c r="O24" s="184"/>
      <c r="P24" s="184"/>
      <c r="Q24" s="184">
        <f t="shared" si="1"/>
        <v>1820</v>
      </c>
      <c r="R24" s="181">
        <v>0.25</v>
      </c>
      <c r="S24" s="184">
        <f t="shared" si="2"/>
        <v>2275</v>
      </c>
    </row>
    <row r="25" spans="1:19">
      <c r="A25" s="180" t="s">
        <v>895</v>
      </c>
      <c r="B25" s="184">
        <v>250</v>
      </c>
      <c r="C25" s="184">
        <v>200</v>
      </c>
      <c r="D25" s="184">
        <v>250</v>
      </c>
      <c r="E25" s="184">
        <v>150</v>
      </c>
      <c r="F25" s="184">
        <v>250</v>
      </c>
      <c r="G25" s="184">
        <v>900</v>
      </c>
      <c r="H25" s="184">
        <v>650</v>
      </c>
      <c r="I25" s="184">
        <v>1200</v>
      </c>
      <c r="J25" s="184">
        <v>180</v>
      </c>
      <c r="K25" s="184">
        <v>250</v>
      </c>
      <c r="L25" s="184"/>
      <c r="M25" s="184"/>
      <c r="N25" s="184"/>
      <c r="O25" s="184"/>
      <c r="P25" s="184"/>
      <c r="Q25" s="184">
        <f t="shared" si="1"/>
        <v>4280</v>
      </c>
      <c r="R25" s="181"/>
      <c r="S25" s="184">
        <f t="shared" si="2"/>
        <v>4280</v>
      </c>
    </row>
    <row r="26" spans="1:19">
      <c r="A26" s="180" t="s">
        <v>896</v>
      </c>
      <c r="B26" s="184"/>
      <c r="C26" s="184"/>
      <c r="D26" s="184">
        <v>364</v>
      </c>
      <c r="E26" s="184"/>
      <c r="F26" s="184">
        <v>1549</v>
      </c>
      <c r="G26" s="184"/>
      <c r="H26" s="184"/>
      <c r="I26" s="184">
        <v>193</v>
      </c>
      <c r="J26" s="184"/>
      <c r="K26" s="184">
        <v>1155</v>
      </c>
      <c r="L26" s="184"/>
      <c r="M26" s="184"/>
      <c r="N26" s="184"/>
      <c r="O26" s="184"/>
      <c r="P26" s="184"/>
      <c r="Q26" s="184">
        <f t="shared" si="1"/>
        <v>3261</v>
      </c>
      <c r="R26" s="181">
        <v>0.375</v>
      </c>
      <c r="S26" s="184">
        <f t="shared" si="2"/>
        <v>4483.875</v>
      </c>
    </row>
    <row r="27" spans="1:19">
      <c r="A27" s="180" t="s">
        <v>897</v>
      </c>
      <c r="B27" s="184"/>
      <c r="C27" s="184"/>
      <c r="D27" s="184"/>
      <c r="E27" s="184"/>
      <c r="F27" s="184"/>
      <c r="G27" s="184"/>
      <c r="H27" s="184"/>
      <c r="I27" s="184">
        <v>5475</v>
      </c>
      <c r="J27" s="184"/>
      <c r="K27" s="184"/>
      <c r="L27" s="184"/>
      <c r="M27" s="184"/>
      <c r="N27" s="184"/>
      <c r="O27" s="184"/>
      <c r="P27" s="184"/>
      <c r="Q27" s="184">
        <f t="shared" si="1"/>
        <v>5475</v>
      </c>
      <c r="R27" s="181">
        <v>0.05</v>
      </c>
      <c r="S27" s="184">
        <f t="shared" si="2"/>
        <v>5748.75</v>
      </c>
    </row>
    <row r="28" spans="1:19">
      <c r="A28" s="180" t="s">
        <v>898</v>
      </c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>
        <f t="shared" si="1"/>
        <v>0</v>
      </c>
      <c r="R28" s="181"/>
      <c r="S28" s="184">
        <f t="shared" si="2"/>
        <v>0</v>
      </c>
    </row>
    <row r="29" spans="1:19">
      <c r="A29" s="180" t="s">
        <v>899</v>
      </c>
      <c r="B29" s="184"/>
      <c r="C29" s="184"/>
      <c r="D29" s="184"/>
      <c r="E29" s="184"/>
      <c r="F29" s="184">
        <v>3450</v>
      </c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>
        <f t="shared" si="1"/>
        <v>3450</v>
      </c>
      <c r="R29" s="181">
        <v>0.35</v>
      </c>
      <c r="S29" s="184">
        <f t="shared" si="2"/>
        <v>4657.5</v>
      </c>
    </row>
    <row r="30" spans="1:19">
      <c r="A30" s="180" t="s">
        <v>900</v>
      </c>
      <c r="B30" s="184"/>
      <c r="C30" s="184">
        <v>570</v>
      </c>
      <c r="D30" s="184"/>
      <c r="E30" s="184"/>
      <c r="F30" s="184"/>
      <c r="G30" s="184"/>
      <c r="H30" s="184"/>
      <c r="I30" s="184">
        <v>1350</v>
      </c>
      <c r="J30" s="184"/>
      <c r="K30" s="184"/>
      <c r="L30" s="184"/>
      <c r="M30" s="184"/>
      <c r="N30" s="184"/>
      <c r="O30" s="184"/>
      <c r="P30" s="184"/>
      <c r="Q30" s="184">
        <f t="shared" si="1"/>
        <v>1920</v>
      </c>
      <c r="R30" s="181">
        <v>7.4999999999999997E-2</v>
      </c>
      <c r="S30" s="184">
        <f t="shared" si="2"/>
        <v>2064</v>
      </c>
    </row>
    <row r="31" spans="1:19">
      <c r="A31" s="180" t="s">
        <v>901</v>
      </c>
      <c r="B31" s="184"/>
      <c r="C31" s="184"/>
      <c r="D31" s="184">
        <v>3552</v>
      </c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84"/>
      <c r="Q31" s="184">
        <f t="shared" si="1"/>
        <v>3552</v>
      </c>
      <c r="R31" s="181">
        <v>0.2</v>
      </c>
      <c r="S31" s="184">
        <f t="shared" si="2"/>
        <v>4262.3999999999996</v>
      </c>
    </row>
    <row r="32" spans="1:19">
      <c r="A32" s="180" t="s">
        <v>902</v>
      </c>
      <c r="B32" s="184"/>
      <c r="C32" s="184">
        <v>104</v>
      </c>
      <c r="D32" s="184">
        <v>77</v>
      </c>
      <c r="E32" s="184"/>
      <c r="F32" s="184">
        <v>529</v>
      </c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>
        <f t="shared" si="1"/>
        <v>710</v>
      </c>
      <c r="R32" s="181">
        <v>0.2</v>
      </c>
      <c r="S32" s="184">
        <f t="shared" si="2"/>
        <v>852</v>
      </c>
    </row>
    <row r="33" spans="1:19">
      <c r="A33" s="180" t="s">
        <v>903</v>
      </c>
      <c r="B33" s="184">
        <v>929</v>
      </c>
      <c r="C33" s="184">
        <v>1368</v>
      </c>
      <c r="D33" s="184">
        <v>1081</v>
      </c>
      <c r="E33" s="184">
        <v>254</v>
      </c>
      <c r="F33" s="184">
        <v>381</v>
      </c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>
        <f t="shared" si="1"/>
        <v>4013</v>
      </c>
      <c r="R33" s="181">
        <v>0.27</v>
      </c>
      <c r="S33" s="184">
        <f t="shared" si="2"/>
        <v>5096.51</v>
      </c>
    </row>
    <row r="34" spans="1:19">
      <c r="A34" s="180" t="s">
        <v>904</v>
      </c>
      <c r="B34" s="184"/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>
        <f t="shared" si="1"/>
        <v>0</v>
      </c>
      <c r="R34" s="181"/>
      <c r="S34" s="184">
        <f t="shared" si="2"/>
        <v>0</v>
      </c>
    </row>
    <row r="35" spans="1:19">
      <c r="A35" s="180" t="s">
        <v>905</v>
      </c>
      <c r="B35" s="184"/>
      <c r="C35" s="184"/>
      <c r="D35" s="184"/>
      <c r="E35" s="184"/>
      <c r="F35" s="184"/>
      <c r="G35" s="184"/>
      <c r="H35" s="184"/>
      <c r="I35" s="184">
        <v>447</v>
      </c>
      <c r="J35" s="184"/>
      <c r="K35" s="184"/>
      <c r="L35" s="184"/>
      <c r="M35" s="184"/>
      <c r="N35" s="184"/>
      <c r="O35" s="184"/>
      <c r="P35" s="184"/>
      <c r="Q35" s="184">
        <f t="shared" si="1"/>
        <v>447</v>
      </c>
      <c r="R35" s="181">
        <v>0.3</v>
      </c>
      <c r="S35" s="184">
        <f t="shared" si="2"/>
        <v>581.1</v>
      </c>
    </row>
    <row r="36" spans="1:19">
      <c r="A36" s="180" t="s">
        <v>906</v>
      </c>
      <c r="B36" s="184">
        <v>615</v>
      </c>
      <c r="C36" s="184">
        <v>12185</v>
      </c>
      <c r="D36" s="184">
        <v>5230</v>
      </c>
      <c r="E36" s="184">
        <v>1360</v>
      </c>
      <c r="F36" s="184">
        <v>3950</v>
      </c>
      <c r="G36" s="184">
        <v>4388</v>
      </c>
      <c r="H36" s="184">
        <v>2737</v>
      </c>
      <c r="I36" s="184"/>
      <c r="J36" s="184">
        <v>2356</v>
      </c>
      <c r="K36" s="184">
        <v>6393</v>
      </c>
      <c r="L36" s="184"/>
      <c r="M36" s="184"/>
      <c r="N36" s="184"/>
      <c r="O36" s="184"/>
      <c r="P36" s="184"/>
      <c r="Q36" s="184">
        <f t="shared" si="1"/>
        <v>39214</v>
      </c>
      <c r="R36" s="181">
        <v>0.27222222222222198</v>
      </c>
      <c r="S36" s="184">
        <f t="shared" si="2"/>
        <v>49888.922222222216</v>
      </c>
    </row>
    <row r="37" spans="1:19">
      <c r="A37" s="180" t="s">
        <v>907</v>
      </c>
      <c r="B37" s="184"/>
      <c r="C37" s="184"/>
      <c r="D37" s="184"/>
      <c r="E37" s="184">
        <v>336</v>
      </c>
      <c r="F37" s="184"/>
      <c r="G37" s="184">
        <v>141</v>
      </c>
      <c r="H37" s="184"/>
      <c r="I37" s="184"/>
      <c r="J37" s="184">
        <v>520</v>
      </c>
      <c r="K37" s="184"/>
      <c r="L37" s="184"/>
      <c r="M37" s="184"/>
      <c r="N37" s="184"/>
      <c r="O37" s="184"/>
      <c r="P37" s="184"/>
      <c r="Q37" s="184">
        <f t="shared" si="1"/>
        <v>997</v>
      </c>
      <c r="R37" s="181">
        <v>0.2</v>
      </c>
      <c r="S37" s="184">
        <f t="shared" si="2"/>
        <v>1196.4000000000001</v>
      </c>
    </row>
    <row r="38" spans="1:19" ht="12">
      <c r="A38" s="189" t="s">
        <v>908</v>
      </c>
      <c r="B38" s="190">
        <f t="shared" ref="B38:Q38" si="3">SUM(B14:B37)</f>
        <v>6035</v>
      </c>
      <c r="C38" s="190">
        <f t="shared" si="3"/>
        <v>15151</v>
      </c>
      <c r="D38" s="190">
        <f t="shared" si="3"/>
        <v>10713</v>
      </c>
      <c r="E38" s="190">
        <f t="shared" si="3"/>
        <v>2100</v>
      </c>
      <c r="F38" s="190">
        <f t="shared" si="3"/>
        <v>10143</v>
      </c>
      <c r="G38" s="190">
        <f t="shared" si="3"/>
        <v>13458</v>
      </c>
      <c r="H38" s="190">
        <f t="shared" si="3"/>
        <v>8117</v>
      </c>
      <c r="I38" s="190">
        <f t="shared" si="3"/>
        <v>13766</v>
      </c>
      <c r="J38" s="190">
        <f t="shared" si="3"/>
        <v>3954</v>
      </c>
      <c r="K38" s="190">
        <f t="shared" si="3"/>
        <v>14928</v>
      </c>
      <c r="L38" s="190">
        <f t="shared" si="3"/>
        <v>0</v>
      </c>
      <c r="M38" s="190">
        <f t="shared" si="3"/>
        <v>0</v>
      </c>
      <c r="N38" s="190">
        <f t="shared" si="3"/>
        <v>0</v>
      </c>
      <c r="O38" s="190">
        <f t="shared" si="3"/>
        <v>0</v>
      </c>
      <c r="P38" s="190">
        <f t="shared" si="3"/>
        <v>0</v>
      </c>
      <c r="Q38" s="190">
        <f t="shared" si="3"/>
        <v>98365</v>
      </c>
      <c r="R38" s="191">
        <f>(S38-Q38)/Q38</f>
        <v>0.18884900342827451</v>
      </c>
      <c r="S38" s="190">
        <f>SUM(S14:S37)</f>
        <v>116941.13222222222</v>
      </c>
    </row>
  </sheetData>
  <pageMargins left="0" right="0" top="0.39374999999999999" bottom="0.39374999999999999" header="0" footer="0"/>
  <pageSetup paperSize="9" firstPageNumber="0" pageOrder="overThenDown" orientation="landscape" horizontalDpi="300" verticalDpi="300"/>
  <headerFooter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/>
  </sheetViews>
  <sheetFormatPr defaultRowHeight="15"/>
  <cols>
    <col min="1" max="1" width="14.83203125" style="218" customWidth="1"/>
    <col min="2" max="2" width="9.33203125" style="218" customWidth="1"/>
    <col min="3" max="3" width="20" style="218" customWidth="1"/>
    <col min="4" max="4" width="5.6640625" style="218" customWidth="1"/>
    <col min="5" max="5" width="18" style="218" bestFit="1" customWidth="1"/>
    <col min="6" max="6" width="19.1640625" style="218" bestFit="1" customWidth="1"/>
    <col min="7" max="7" width="2" style="218" customWidth="1"/>
    <col min="8" max="8" width="15.5" style="218" bestFit="1" customWidth="1"/>
    <col min="9" max="10" width="15.83203125" style="218" bestFit="1" customWidth="1"/>
    <col min="11" max="11" width="14" style="218" bestFit="1" customWidth="1"/>
    <col min="12" max="12" width="14.1640625" style="218" bestFit="1" customWidth="1"/>
    <col min="13" max="13" width="17.5" style="218" bestFit="1" customWidth="1"/>
    <col min="14" max="14" width="15.83203125" style="218" bestFit="1" customWidth="1"/>
    <col min="15" max="15" width="17.5" style="218" bestFit="1" customWidth="1"/>
    <col min="16" max="16" width="9.33203125" style="218" customWidth="1"/>
    <col min="17" max="17" width="16.6640625" style="218" customWidth="1"/>
    <col min="18" max="256" width="9.33203125" style="218" customWidth="1"/>
    <col min="257" max="257" width="14.83203125" style="218" customWidth="1"/>
    <col min="258" max="258" width="9.33203125" style="218" customWidth="1"/>
    <col min="259" max="259" width="20" style="218" customWidth="1"/>
    <col min="260" max="260" width="5.6640625" style="218" customWidth="1"/>
    <col min="261" max="261" width="18" style="218" bestFit="1" customWidth="1"/>
    <col min="262" max="262" width="19.1640625" style="218" bestFit="1" customWidth="1"/>
    <col min="263" max="263" width="2" style="218" customWidth="1"/>
    <col min="264" max="264" width="15.5" style="218" bestFit="1" customWidth="1"/>
    <col min="265" max="266" width="15.83203125" style="218" bestFit="1" customWidth="1"/>
    <col min="267" max="267" width="14" style="218" bestFit="1" customWidth="1"/>
    <col min="268" max="268" width="14.1640625" style="218" bestFit="1" customWidth="1"/>
    <col min="269" max="269" width="17.5" style="218" bestFit="1" customWidth="1"/>
    <col min="270" max="270" width="15.83203125" style="218" bestFit="1" customWidth="1"/>
    <col min="271" max="271" width="17.5" style="218" bestFit="1" customWidth="1"/>
    <col min="272" max="272" width="9.33203125" style="218" customWidth="1"/>
    <col min="273" max="273" width="16.6640625" style="218" customWidth="1"/>
    <col min="274" max="512" width="9.33203125" style="218" customWidth="1"/>
    <col min="513" max="513" width="14.83203125" style="218" customWidth="1"/>
    <col min="514" max="514" width="9.33203125" style="218" customWidth="1"/>
    <col min="515" max="515" width="20" style="218" customWidth="1"/>
    <col min="516" max="516" width="5.6640625" style="218" customWidth="1"/>
    <col min="517" max="517" width="18" style="218" bestFit="1" customWidth="1"/>
    <col min="518" max="518" width="19.1640625" style="218" bestFit="1" customWidth="1"/>
    <col min="519" max="519" width="2" style="218" customWidth="1"/>
    <col min="520" max="520" width="15.5" style="218" bestFit="1" customWidth="1"/>
    <col min="521" max="522" width="15.83203125" style="218" bestFit="1" customWidth="1"/>
    <col min="523" max="523" width="14" style="218" bestFit="1" customWidth="1"/>
    <col min="524" max="524" width="14.1640625" style="218" bestFit="1" customWidth="1"/>
    <col min="525" max="525" width="17.5" style="218" bestFit="1" customWidth="1"/>
    <col min="526" max="526" width="15.83203125" style="218" bestFit="1" customWidth="1"/>
    <col min="527" max="527" width="17.5" style="218" bestFit="1" customWidth="1"/>
    <col min="528" max="528" width="9.33203125" style="218" customWidth="1"/>
    <col min="529" max="529" width="16.6640625" style="218" customWidth="1"/>
    <col min="530" max="768" width="9.33203125" style="218" customWidth="1"/>
    <col min="769" max="769" width="14.83203125" style="218" customWidth="1"/>
    <col min="770" max="770" width="9.33203125" style="218" customWidth="1"/>
    <col min="771" max="771" width="20" style="218" customWidth="1"/>
    <col min="772" max="772" width="5.6640625" style="218" customWidth="1"/>
    <col min="773" max="773" width="18" style="218" bestFit="1" customWidth="1"/>
    <col min="774" max="774" width="19.1640625" style="218" bestFit="1" customWidth="1"/>
    <col min="775" max="775" width="2" style="218" customWidth="1"/>
    <col min="776" max="776" width="15.5" style="218" bestFit="1" customWidth="1"/>
    <col min="777" max="778" width="15.83203125" style="218" bestFit="1" customWidth="1"/>
    <col min="779" max="779" width="14" style="218" bestFit="1" customWidth="1"/>
    <col min="780" max="780" width="14.1640625" style="218" bestFit="1" customWidth="1"/>
    <col min="781" max="781" width="17.5" style="218" bestFit="1" customWidth="1"/>
    <col min="782" max="782" width="15.83203125" style="218" bestFit="1" customWidth="1"/>
    <col min="783" max="783" width="17.5" style="218" bestFit="1" customWidth="1"/>
    <col min="784" max="784" width="9.33203125" style="218" customWidth="1"/>
    <col min="785" max="785" width="16.6640625" style="218" customWidth="1"/>
    <col min="786" max="1024" width="9.33203125" style="218" customWidth="1"/>
    <col min="1025" max="1025" width="14.83203125" style="218" customWidth="1"/>
    <col min="1026" max="1026" width="9.33203125" style="218" customWidth="1"/>
    <col min="1027" max="1027" width="20" style="218" customWidth="1"/>
    <col min="1028" max="1028" width="5.6640625" style="218" customWidth="1"/>
    <col min="1029" max="1029" width="18" style="218" bestFit="1" customWidth="1"/>
    <col min="1030" max="1030" width="19.1640625" style="218" bestFit="1" customWidth="1"/>
    <col min="1031" max="1031" width="2" style="218" customWidth="1"/>
    <col min="1032" max="1032" width="15.5" style="218" bestFit="1" customWidth="1"/>
    <col min="1033" max="1034" width="15.83203125" style="218" bestFit="1" customWidth="1"/>
    <col min="1035" max="1035" width="14" style="218" bestFit="1" customWidth="1"/>
    <col min="1036" max="1036" width="14.1640625" style="218" bestFit="1" customWidth="1"/>
    <col min="1037" max="1037" width="17.5" style="218" bestFit="1" customWidth="1"/>
    <col min="1038" max="1038" width="15.83203125" style="218" bestFit="1" customWidth="1"/>
    <col min="1039" max="1039" width="17.5" style="218" bestFit="1" customWidth="1"/>
    <col min="1040" max="1040" width="9.33203125" style="218" customWidth="1"/>
    <col min="1041" max="1041" width="16.6640625" style="218" customWidth="1"/>
    <col min="1042" max="1280" width="9.33203125" style="218" customWidth="1"/>
    <col min="1281" max="1281" width="14.83203125" style="218" customWidth="1"/>
    <col min="1282" max="1282" width="9.33203125" style="218" customWidth="1"/>
    <col min="1283" max="1283" width="20" style="218" customWidth="1"/>
    <col min="1284" max="1284" width="5.6640625" style="218" customWidth="1"/>
    <col min="1285" max="1285" width="18" style="218" bestFit="1" customWidth="1"/>
    <col min="1286" max="1286" width="19.1640625" style="218" bestFit="1" customWidth="1"/>
    <col min="1287" max="1287" width="2" style="218" customWidth="1"/>
    <col min="1288" max="1288" width="15.5" style="218" bestFit="1" customWidth="1"/>
    <col min="1289" max="1290" width="15.83203125" style="218" bestFit="1" customWidth="1"/>
    <col min="1291" max="1291" width="14" style="218" bestFit="1" customWidth="1"/>
    <col min="1292" max="1292" width="14.1640625" style="218" bestFit="1" customWidth="1"/>
    <col min="1293" max="1293" width="17.5" style="218" bestFit="1" customWidth="1"/>
    <col min="1294" max="1294" width="15.83203125" style="218" bestFit="1" customWidth="1"/>
    <col min="1295" max="1295" width="17.5" style="218" bestFit="1" customWidth="1"/>
    <col min="1296" max="1296" width="9.33203125" style="218" customWidth="1"/>
    <col min="1297" max="1297" width="16.6640625" style="218" customWidth="1"/>
    <col min="1298" max="1536" width="9.33203125" style="218" customWidth="1"/>
    <col min="1537" max="1537" width="14.83203125" style="218" customWidth="1"/>
    <col min="1538" max="1538" width="9.33203125" style="218" customWidth="1"/>
    <col min="1539" max="1539" width="20" style="218" customWidth="1"/>
    <col min="1540" max="1540" width="5.6640625" style="218" customWidth="1"/>
    <col min="1541" max="1541" width="18" style="218" bestFit="1" customWidth="1"/>
    <col min="1542" max="1542" width="19.1640625" style="218" bestFit="1" customWidth="1"/>
    <col min="1543" max="1543" width="2" style="218" customWidth="1"/>
    <col min="1544" max="1544" width="15.5" style="218" bestFit="1" customWidth="1"/>
    <col min="1545" max="1546" width="15.83203125" style="218" bestFit="1" customWidth="1"/>
    <col min="1547" max="1547" width="14" style="218" bestFit="1" customWidth="1"/>
    <col min="1548" max="1548" width="14.1640625" style="218" bestFit="1" customWidth="1"/>
    <col min="1549" max="1549" width="17.5" style="218" bestFit="1" customWidth="1"/>
    <col min="1550" max="1550" width="15.83203125" style="218" bestFit="1" customWidth="1"/>
    <col min="1551" max="1551" width="17.5" style="218" bestFit="1" customWidth="1"/>
    <col min="1552" max="1552" width="9.33203125" style="218" customWidth="1"/>
    <col min="1553" max="1553" width="16.6640625" style="218" customWidth="1"/>
    <col min="1554" max="1792" width="9.33203125" style="218" customWidth="1"/>
    <col min="1793" max="1793" width="14.83203125" style="218" customWidth="1"/>
    <col min="1794" max="1794" width="9.33203125" style="218" customWidth="1"/>
    <col min="1795" max="1795" width="20" style="218" customWidth="1"/>
    <col min="1796" max="1796" width="5.6640625" style="218" customWidth="1"/>
    <col min="1797" max="1797" width="18" style="218" bestFit="1" customWidth="1"/>
    <col min="1798" max="1798" width="19.1640625" style="218" bestFit="1" customWidth="1"/>
    <col min="1799" max="1799" width="2" style="218" customWidth="1"/>
    <col min="1800" max="1800" width="15.5" style="218" bestFit="1" customWidth="1"/>
    <col min="1801" max="1802" width="15.83203125" style="218" bestFit="1" customWidth="1"/>
    <col min="1803" max="1803" width="14" style="218" bestFit="1" customWidth="1"/>
    <col min="1804" max="1804" width="14.1640625" style="218" bestFit="1" customWidth="1"/>
    <col min="1805" max="1805" width="17.5" style="218" bestFit="1" customWidth="1"/>
    <col min="1806" max="1806" width="15.83203125" style="218" bestFit="1" customWidth="1"/>
    <col min="1807" max="1807" width="17.5" style="218" bestFit="1" customWidth="1"/>
    <col min="1808" max="1808" width="9.33203125" style="218" customWidth="1"/>
    <col min="1809" max="1809" width="16.6640625" style="218" customWidth="1"/>
    <col min="1810" max="2048" width="9.33203125" style="218" customWidth="1"/>
    <col min="2049" max="2049" width="14.83203125" style="218" customWidth="1"/>
    <col min="2050" max="2050" width="9.33203125" style="218" customWidth="1"/>
    <col min="2051" max="2051" width="20" style="218" customWidth="1"/>
    <col min="2052" max="2052" width="5.6640625" style="218" customWidth="1"/>
    <col min="2053" max="2053" width="18" style="218" bestFit="1" customWidth="1"/>
    <col min="2054" max="2054" width="19.1640625" style="218" bestFit="1" customWidth="1"/>
    <col min="2055" max="2055" width="2" style="218" customWidth="1"/>
    <col min="2056" max="2056" width="15.5" style="218" bestFit="1" customWidth="1"/>
    <col min="2057" max="2058" width="15.83203125" style="218" bestFit="1" customWidth="1"/>
    <col min="2059" max="2059" width="14" style="218" bestFit="1" customWidth="1"/>
    <col min="2060" max="2060" width="14.1640625" style="218" bestFit="1" customWidth="1"/>
    <col min="2061" max="2061" width="17.5" style="218" bestFit="1" customWidth="1"/>
    <col min="2062" max="2062" width="15.83203125" style="218" bestFit="1" customWidth="1"/>
    <col min="2063" max="2063" width="17.5" style="218" bestFit="1" customWidth="1"/>
    <col min="2064" max="2064" width="9.33203125" style="218" customWidth="1"/>
    <col min="2065" max="2065" width="16.6640625" style="218" customWidth="1"/>
    <col min="2066" max="2304" width="9.33203125" style="218" customWidth="1"/>
    <col min="2305" max="2305" width="14.83203125" style="218" customWidth="1"/>
    <col min="2306" max="2306" width="9.33203125" style="218" customWidth="1"/>
    <col min="2307" max="2307" width="20" style="218" customWidth="1"/>
    <col min="2308" max="2308" width="5.6640625" style="218" customWidth="1"/>
    <col min="2309" max="2309" width="18" style="218" bestFit="1" customWidth="1"/>
    <col min="2310" max="2310" width="19.1640625" style="218" bestFit="1" customWidth="1"/>
    <col min="2311" max="2311" width="2" style="218" customWidth="1"/>
    <col min="2312" max="2312" width="15.5" style="218" bestFit="1" customWidth="1"/>
    <col min="2313" max="2314" width="15.83203125" style="218" bestFit="1" customWidth="1"/>
    <col min="2315" max="2315" width="14" style="218" bestFit="1" customWidth="1"/>
    <col min="2316" max="2316" width="14.1640625" style="218" bestFit="1" customWidth="1"/>
    <col min="2317" max="2317" width="17.5" style="218" bestFit="1" customWidth="1"/>
    <col min="2318" max="2318" width="15.83203125" style="218" bestFit="1" customWidth="1"/>
    <col min="2319" max="2319" width="17.5" style="218" bestFit="1" customWidth="1"/>
    <col min="2320" max="2320" width="9.33203125" style="218" customWidth="1"/>
    <col min="2321" max="2321" width="16.6640625" style="218" customWidth="1"/>
    <col min="2322" max="2560" width="9.33203125" style="218" customWidth="1"/>
    <col min="2561" max="2561" width="14.83203125" style="218" customWidth="1"/>
    <col min="2562" max="2562" width="9.33203125" style="218" customWidth="1"/>
    <col min="2563" max="2563" width="20" style="218" customWidth="1"/>
    <col min="2564" max="2564" width="5.6640625" style="218" customWidth="1"/>
    <col min="2565" max="2565" width="18" style="218" bestFit="1" customWidth="1"/>
    <col min="2566" max="2566" width="19.1640625" style="218" bestFit="1" customWidth="1"/>
    <col min="2567" max="2567" width="2" style="218" customWidth="1"/>
    <col min="2568" max="2568" width="15.5" style="218" bestFit="1" customWidth="1"/>
    <col min="2569" max="2570" width="15.83203125" style="218" bestFit="1" customWidth="1"/>
    <col min="2571" max="2571" width="14" style="218" bestFit="1" customWidth="1"/>
    <col min="2572" max="2572" width="14.1640625" style="218" bestFit="1" customWidth="1"/>
    <col min="2573" max="2573" width="17.5" style="218" bestFit="1" customWidth="1"/>
    <col min="2574" max="2574" width="15.83203125" style="218" bestFit="1" customWidth="1"/>
    <col min="2575" max="2575" width="17.5" style="218" bestFit="1" customWidth="1"/>
    <col min="2576" max="2576" width="9.33203125" style="218" customWidth="1"/>
    <col min="2577" max="2577" width="16.6640625" style="218" customWidth="1"/>
    <col min="2578" max="2816" width="9.33203125" style="218" customWidth="1"/>
    <col min="2817" max="2817" width="14.83203125" style="218" customWidth="1"/>
    <col min="2818" max="2818" width="9.33203125" style="218" customWidth="1"/>
    <col min="2819" max="2819" width="20" style="218" customWidth="1"/>
    <col min="2820" max="2820" width="5.6640625" style="218" customWidth="1"/>
    <col min="2821" max="2821" width="18" style="218" bestFit="1" customWidth="1"/>
    <col min="2822" max="2822" width="19.1640625" style="218" bestFit="1" customWidth="1"/>
    <col min="2823" max="2823" width="2" style="218" customWidth="1"/>
    <col min="2824" max="2824" width="15.5" style="218" bestFit="1" customWidth="1"/>
    <col min="2825" max="2826" width="15.83203125" style="218" bestFit="1" customWidth="1"/>
    <col min="2827" max="2827" width="14" style="218" bestFit="1" customWidth="1"/>
    <col min="2828" max="2828" width="14.1640625" style="218" bestFit="1" customWidth="1"/>
    <col min="2829" max="2829" width="17.5" style="218" bestFit="1" customWidth="1"/>
    <col min="2830" max="2830" width="15.83203125" style="218" bestFit="1" customWidth="1"/>
    <col min="2831" max="2831" width="17.5" style="218" bestFit="1" customWidth="1"/>
    <col min="2832" max="2832" width="9.33203125" style="218" customWidth="1"/>
    <col min="2833" max="2833" width="16.6640625" style="218" customWidth="1"/>
    <col min="2834" max="3072" width="9.33203125" style="218" customWidth="1"/>
    <col min="3073" max="3073" width="14.83203125" style="218" customWidth="1"/>
    <col min="3074" max="3074" width="9.33203125" style="218" customWidth="1"/>
    <col min="3075" max="3075" width="20" style="218" customWidth="1"/>
    <col min="3076" max="3076" width="5.6640625" style="218" customWidth="1"/>
    <col min="3077" max="3077" width="18" style="218" bestFit="1" customWidth="1"/>
    <col min="3078" max="3078" width="19.1640625" style="218" bestFit="1" customWidth="1"/>
    <col min="3079" max="3079" width="2" style="218" customWidth="1"/>
    <col min="3080" max="3080" width="15.5" style="218" bestFit="1" customWidth="1"/>
    <col min="3081" max="3082" width="15.83203125" style="218" bestFit="1" customWidth="1"/>
    <col min="3083" max="3083" width="14" style="218" bestFit="1" customWidth="1"/>
    <col min="3084" max="3084" width="14.1640625" style="218" bestFit="1" customWidth="1"/>
    <col min="3085" max="3085" width="17.5" style="218" bestFit="1" customWidth="1"/>
    <col min="3086" max="3086" width="15.83203125" style="218" bestFit="1" customWidth="1"/>
    <col min="3087" max="3087" width="17.5" style="218" bestFit="1" customWidth="1"/>
    <col min="3088" max="3088" width="9.33203125" style="218" customWidth="1"/>
    <col min="3089" max="3089" width="16.6640625" style="218" customWidth="1"/>
    <col min="3090" max="3328" width="9.33203125" style="218" customWidth="1"/>
    <col min="3329" max="3329" width="14.83203125" style="218" customWidth="1"/>
    <col min="3330" max="3330" width="9.33203125" style="218" customWidth="1"/>
    <col min="3331" max="3331" width="20" style="218" customWidth="1"/>
    <col min="3332" max="3332" width="5.6640625" style="218" customWidth="1"/>
    <col min="3333" max="3333" width="18" style="218" bestFit="1" customWidth="1"/>
    <col min="3334" max="3334" width="19.1640625" style="218" bestFit="1" customWidth="1"/>
    <col min="3335" max="3335" width="2" style="218" customWidth="1"/>
    <col min="3336" max="3336" width="15.5" style="218" bestFit="1" customWidth="1"/>
    <col min="3337" max="3338" width="15.83203125" style="218" bestFit="1" customWidth="1"/>
    <col min="3339" max="3339" width="14" style="218" bestFit="1" customWidth="1"/>
    <col min="3340" max="3340" width="14.1640625" style="218" bestFit="1" customWidth="1"/>
    <col min="3341" max="3341" width="17.5" style="218" bestFit="1" customWidth="1"/>
    <col min="3342" max="3342" width="15.83203125" style="218" bestFit="1" customWidth="1"/>
    <col min="3343" max="3343" width="17.5" style="218" bestFit="1" customWidth="1"/>
    <col min="3344" max="3344" width="9.33203125" style="218" customWidth="1"/>
    <col min="3345" max="3345" width="16.6640625" style="218" customWidth="1"/>
    <col min="3346" max="3584" width="9.33203125" style="218" customWidth="1"/>
    <col min="3585" max="3585" width="14.83203125" style="218" customWidth="1"/>
    <col min="3586" max="3586" width="9.33203125" style="218" customWidth="1"/>
    <col min="3587" max="3587" width="20" style="218" customWidth="1"/>
    <col min="3588" max="3588" width="5.6640625" style="218" customWidth="1"/>
    <col min="3589" max="3589" width="18" style="218" bestFit="1" customWidth="1"/>
    <col min="3590" max="3590" width="19.1640625" style="218" bestFit="1" customWidth="1"/>
    <col min="3591" max="3591" width="2" style="218" customWidth="1"/>
    <col min="3592" max="3592" width="15.5" style="218" bestFit="1" customWidth="1"/>
    <col min="3593" max="3594" width="15.83203125" style="218" bestFit="1" customWidth="1"/>
    <col min="3595" max="3595" width="14" style="218" bestFit="1" customWidth="1"/>
    <col min="3596" max="3596" width="14.1640625" style="218" bestFit="1" customWidth="1"/>
    <col min="3597" max="3597" width="17.5" style="218" bestFit="1" customWidth="1"/>
    <col min="3598" max="3598" width="15.83203125" style="218" bestFit="1" customWidth="1"/>
    <col min="3599" max="3599" width="17.5" style="218" bestFit="1" customWidth="1"/>
    <col min="3600" max="3600" width="9.33203125" style="218" customWidth="1"/>
    <col min="3601" max="3601" width="16.6640625" style="218" customWidth="1"/>
    <col min="3602" max="3840" width="9.33203125" style="218" customWidth="1"/>
    <col min="3841" max="3841" width="14.83203125" style="218" customWidth="1"/>
    <col min="3842" max="3842" width="9.33203125" style="218" customWidth="1"/>
    <col min="3843" max="3843" width="20" style="218" customWidth="1"/>
    <col min="3844" max="3844" width="5.6640625" style="218" customWidth="1"/>
    <col min="3845" max="3845" width="18" style="218" bestFit="1" customWidth="1"/>
    <col min="3846" max="3846" width="19.1640625" style="218" bestFit="1" customWidth="1"/>
    <col min="3847" max="3847" width="2" style="218" customWidth="1"/>
    <col min="3848" max="3848" width="15.5" style="218" bestFit="1" customWidth="1"/>
    <col min="3849" max="3850" width="15.83203125" style="218" bestFit="1" customWidth="1"/>
    <col min="3851" max="3851" width="14" style="218" bestFit="1" customWidth="1"/>
    <col min="3852" max="3852" width="14.1640625" style="218" bestFit="1" customWidth="1"/>
    <col min="3853" max="3853" width="17.5" style="218" bestFit="1" customWidth="1"/>
    <col min="3854" max="3854" width="15.83203125" style="218" bestFit="1" customWidth="1"/>
    <col min="3855" max="3855" width="17.5" style="218" bestFit="1" customWidth="1"/>
    <col min="3856" max="3856" width="9.33203125" style="218" customWidth="1"/>
    <col min="3857" max="3857" width="16.6640625" style="218" customWidth="1"/>
    <col min="3858" max="4096" width="9.33203125" style="218" customWidth="1"/>
    <col min="4097" max="4097" width="14.83203125" style="218" customWidth="1"/>
    <col min="4098" max="4098" width="9.33203125" style="218" customWidth="1"/>
    <col min="4099" max="4099" width="20" style="218" customWidth="1"/>
    <col min="4100" max="4100" width="5.6640625" style="218" customWidth="1"/>
    <col min="4101" max="4101" width="18" style="218" bestFit="1" customWidth="1"/>
    <col min="4102" max="4102" width="19.1640625" style="218" bestFit="1" customWidth="1"/>
    <col min="4103" max="4103" width="2" style="218" customWidth="1"/>
    <col min="4104" max="4104" width="15.5" style="218" bestFit="1" customWidth="1"/>
    <col min="4105" max="4106" width="15.83203125" style="218" bestFit="1" customWidth="1"/>
    <col min="4107" max="4107" width="14" style="218" bestFit="1" customWidth="1"/>
    <col min="4108" max="4108" width="14.1640625" style="218" bestFit="1" customWidth="1"/>
    <col min="4109" max="4109" width="17.5" style="218" bestFit="1" customWidth="1"/>
    <col min="4110" max="4110" width="15.83203125" style="218" bestFit="1" customWidth="1"/>
    <col min="4111" max="4111" width="17.5" style="218" bestFit="1" customWidth="1"/>
    <col min="4112" max="4112" width="9.33203125" style="218" customWidth="1"/>
    <col min="4113" max="4113" width="16.6640625" style="218" customWidth="1"/>
    <col min="4114" max="4352" width="9.33203125" style="218" customWidth="1"/>
    <col min="4353" max="4353" width="14.83203125" style="218" customWidth="1"/>
    <col min="4354" max="4354" width="9.33203125" style="218" customWidth="1"/>
    <col min="4355" max="4355" width="20" style="218" customWidth="1"/>
    <col min="4356" max="4356" width="5.6640625" style="218" customWidth="1"/>
    <col min="4357" max="4357" width="18" style="218" bestFit="1" customWidth="1"/>
    <col min="4358" max="4358" width="19.1640625" style="218" bestFit="1" customWidth="1"/>
    <col min="4359" max="4359" width="2" style="218" customWidth="1"/>
    <col min="4360" max="4360" width="15.5" style="218" bestFit="1" customWidth="1"/>
    <col min="4361" max="4362" width="15.83203125" style="218" bestFit="1" customWidth="1"/>
    <col min="4363" max="4363" width="14" style="218" bestFit="1" customWidth="1"/>
    <col min="4364" max="4364" width="14.1640625" style="218" bestFit="1" customWidth="1"/>
    <col min="4365" max="4365" width="17.5" style="218" bestFit="1" customWidth="1"/>
    <col min="4366" max="4366" width="15.83203125" style="218" bestFit="1" customWidth="1"/>
    <col min="4367" max="4367" width="17.5" style="218" bestFit="1" customWidth="1"/>
    <col min="4368" max="4368" width="9.33203125" style="218" customWidth="1"/>
    <col min="4369" max="4369" width="16.6640625" style="218" customWidth="1"/>
    <col min="4370" max="4608" width="9.33203125" style="218" customWidth="1"/>
    <col min="4609" max="4609" width="14.83203125" style="218" customWidth="1"/>
    <col min="4610" max="4610" width="9.33203125" style="218" customWidth="1"/>
    <col min="4611" max="4611" width="20" style="218" customWidth="1"/>
    <col min="4612" max="4612" width="5.6640625" style="218" customWidth="1"/>
    <col min="4613" max="4613" width="18" style="218" bestFit="1" customWidth="1"/>
    <col min="4614" max="4614" width="19.1640625" style="218" bestFit="1" customWidth="1"/>
    <col min="4615" max="4615" width="2" style="218" customWidth="1"/>
    <col min="4616" max="4616" width="15.5" style="218" bestFit="1" customWidth="1"/>
    <col min="4617" max="4618" width="15.83203125" style="218" bestFit="1" customWidth="1"/>
    <col min="4619" max="4619" width="14" style="218" bestFit="1" customWidth="1"/>
    <col min="4620" max="4620" width="14.1640625" style="218" bestFit="1" customWidth="1"/>
    <col min="4621" max="4621" width="17.5" style="218" bestFit="1" customWidth="1"/>
    <col min="4622" max="4622" width="15.83203125" style="218" bestFit="1" customWidth="1"/>
    <col min="4623" max="4623" width="17.5" style="218" bestFit="1" customWidth="1"/>
    <col min="4624" max="4624" width="9.33203125" style="218" customWidth="1"/>
    <col min="4625" max="4625" width="16.6640625" style="218" customWidth="1"/>
    <col min="4626" max="4864" width="9.33203125" style="218" customWidth="1"/>
    <col min="4865" max="4865" width="14.83203125" style="218" customWidth="1"/>
    <col min="4866" max="4866" width="9.33203125" style="218" customWidth="1"/>
    <col min="4867" max="4867" width="20" style="218" customWidth="1"/>
    <col min="4868" max="4868" width="5.6640625" style="218" customWidth="1"/>
    <col min="4869" max="4869" width="18" style="218" bestFit="1" customWidth="1"/>
    <col min="4870" max="4870" width="19.1640625" style="218" bestFit="1" customWidth="1"/>
    <col min="4871" max="4871" width="2" style="218" customWidth="1"/>
    <col min="4872" max="4872" width="15.5" style="218" bestFit="1" customWidth="1"/>
    <col min="4873" max="4874" width="15.83203125" style="218" bestFit="1" customWidth="1"/>
    <col min="4875" max="4875" width="14" style="218" bestFit="1" customWidth="1"/>
    <col min="4876" max="4876" width="14.1640625" style="218" bestFit="1" customWidth="1"/>
    <col min="4877" max="4877" width="17.5" style="218" bestFit="1" customWidth="1"/>
    <col min="4878" max="4878" width="15.83203125" style="218" bestFit="1" customWidth="1"/>
    <col min="4879" max="4879" width="17.5" style="218" bestFit="1" customWidth="1"/>
    <col min="4880" max="4880" width="9.33203125" style="218" customWidth="1"/>
    <col min="4881" max="4881" width="16.6640625" style="218" customWidth="1"/>
    <col min="4882" max="5120" width="9.33203125" style="218" customWidth="1"/>
    <col min="5121" max="5121" width="14.83203125" style="218" customWidth="1"/>
    <col min="5122" max="5122" width="9.33203125" style="218" customWidth="1"/>
    <col min="5123" max="5123" width="20" style="218" customWidth="1"/>
    <col min="5124" max="5124" width="5.6640625" style="218" customWidth="1"/>
    <col min="5125" max="5125" width="18" style="218" bestFit="1" customWidth="1"/>
    <col min="5126" max="5126" width="19.1640625" style="218" bestFit="1" customWidth="1"/>
    <col min="5127" max="5127" width="2" style="218" customWidth="1"/>
    <col min="5128" max="5128" width="15.5" style="218" bestFit="1" customWidth="1"/>
    <col min="5129" max="5130" width="15.83203125" style="218" bestFit="1" customWidth="1"/>
    <col min="5131" max="5131" width="14" style="218" bestFit="1" customWidth="1"/>
    <col min="5132" max="5132" width="14.1640625" style="218" bestFit="1" customWidth="1"/>
    <col min="5133" max="5133" width="17.5" style="218" bestFit="1" customWidth="1"/>
    <col min="5134" max="5134" width="15.83203125" style="218" bestFit="1" customWidth="1"/>
    <col min="5135" max="5135" width="17.5" style="218" bestFit="1" customWidth="1"/>
    <col min="5136" max="5136" width="9.33203125" style="218" customWidth="1"/>
    <col min="5137" max="5137" width="16.6640625" style="218" customWidth="1"/>
    <col min="5138" max="5376" width="9.33203125" style="218" customWidth="1"/>
    <col min="5377" max="5377" width="14.83203125" style="218" customWidth="1"/>
    <col min="5378" max="5378" width="9.33203125" style="218" customWidth="1"/>
    <col min="5379" max="5379" width="20" style="218" customWidth="1"/>
    <col min="5380" max="5380" width="5.6640625" style="218" customWidth="1"/>
    <col min="5381" max="5381" width="18" style="218" bestFit="1" customWidth="1"/>
    <col min="5382" max="5382" width="19.1640625" style="218" bestFit="1" customWidth="1"/>
    <col min="5383" max="5383" width="2" style="218" customWidth="1"/>
    <col min="5384" max="5384" width="15.5" style="218" bestFit="1" customWidth="1"/>
    <col min="5385" max="5386" width="15.83203125" style="218" bestFit="1" customWidth="1"/>
    <col min="5387" max="5387" width="14" style="218" bestFit="1" customWidth="1"/>
    <col min="5388" max="5388" width="14.1640625" style="218" bestFit="1" customWidth="1"/>
    <col min="5389" max="5389" width="17.5" style="218" bestFit="1" customWidth="1"/>
    <col min="5390" max="5390" width="15.83203125" style="218" bestFit="1" customWidth="1"/>
    <col min="5391" max="5391" width="17.5" style="218" bestFit="1" customWidth="1"/>
    <col min="5392" max="5392" width="9.33203125" style="218" customWidth="1"/>
    <col min="5393" max="5393" width="16.6640625" style="218" customWidth="1"/>
    <col min="5394" max="5632" width="9.33203125" style="218" customWidth="1"/>
    <col min="5633" max="5633" width="14.83203125" style="218" customWidth="1"/>
    <col min="5634" max="5634" width="9.33203125" style="218" customWidth="1"/>
    <col min="5635" max="5635" width="20" style="218" customWidth="1"/>
    <col min="5636" max="5636" width="5.6640625" style="218" customWidth="1"/>
    <col min="5637" max="5637" width="18" style="218" bestFit="1" customWidth="1"/>
    <col min="5638" max="5638" width="19.1640625" style="218" bestFit="1" customWidth="1"/>
    <col min="5639" max="5639" width="2" style="218" customWidth="1"/>
    <col min="5640" max="5640" width="15.5" style="218" bestFit="1" customWidth="1"/>
    <col min="5641" max="5642" width="15.83203125" style="218" bestFit="1" customWidth="1"/>
    <col min="5643" max="5643" width="14" style="218" bestFit="1" customWidth="1"/>
    <col min="5644" max="5644" width="14.1640625" style="218" bestFit="1" customWidth="1"/>
    <col min="5645" max="5645" width="17.5" style="218" bestFit="1" customWidth="1"/>
    <col min="5646" max="5646" width="15.83203125" style="218" bestFit="1" customWidth="1"/>
    <col min="5647" max="5647" width="17.5" style="218" bestFit="1" customWidth="1"/>
    <col min="5648" max="5648" width="9.33203125" style="218" customWidth="1"/>
    <col min="5649" max="5649" width="16.6640625" style="218" customWidth="1"/>
    <col min="5650" max="5888" width="9.33203125" style="218" customWidth="1"/>
    <col min="5889" max="5889" width="14.83203125" style="218" customWidth="1"/>
    <col min="5890" max="5890" width="9.33203125" style="218" customWidth="1"/>
    <col min="5891" max="5891" width="20" style="218" customWidth="1"/>
    <col min="5892" max="5892" width="5.6640625" style="218" customWidth="1"/>
    <col min="5893" max="5893" width="18" style="218" bestFit="1" customWidth="1"/>
    <col min="5894" max="5894" width="19.1640625" style="218" bestFit="1" customWidth="1"/>
    <col min="5895" max="5895" width="2" style="218" customWidth="1"/>
    <col min="5896" max="5896" width="15.5" style="218" bestFit="1" customWidth="1"/>
    <col min="5897" max="5898" width="15.83203125" style="218" bestFit="1" customWidth="1"/>
    <col min="5899" max="5899" width="14" style="218" bestFit="1" customWidth="1"/>
    <col min="5900" max="5900" width="14.1640625" style="218" bestFit="1" customWidth="1"/>
    <col min="5901" max="5901" width="17.5" style="218" bestFit="1" customWidth="1"/>
    <col min="5902" max="5902" width="15.83203125" style="218" bestFit="1" customWidth="1"/>
    <col min="5903" max="5903" width="17.5" style="218" bestFit="1" customWidth="1"/>
    <col min="5904" max="5904" width="9.33203125" style="218" customWidth="1"/>
    <col min="5905" max="5905" width="16.6640625" style="218" customWidth="1"/>
    <col min="5906" max="6144" width="9.33203125" style="218" customWidth="1"/>
    <col min="6145" max="6145" width="14.83203125" style="218" customWidth="1"/>
    <col min="6146" max="6146" width="9.33203125" style="218" customWidth="1"/>
    <col min="6147" max="6147" width="20" style="218" customWidth="1"/>
    <col min="6148" max="6148" width="5.6640625" style="218" customWidth="1"/>
    <col min="6149" max="6149" width="18" style="218" bestFit="1" customWidth="1"/>
    <col min="6150" max="6150" width="19.1640625" style="218" bestFit="1" customWidth="1"/>
    <col min="6151" max="6151" width="2" style="218" customWidth="1"/>
    <col min="6152" max="6152" width="15.5" style="218" bestFit="1" customWidth="1"/>
    <col min="6153" max="6154" width="15.83203125" style="218" bestFit="1" customWidth="1"/>
    <col min="6155" max="6155" width="14" style="218" bestFit="1" customWidth="1"/>
    <col min="6156" max="6156" width="14.1640625" style="218" bestFit="1" customWidth="1"/>
    <col min="6157" max="6157" width="17.5" style="218" bestFit="1" customWidth="1"/>
    <col min="6158" max="6158" width="15.83203125" style="218" bestFit="1" customWidth="1"/>
    <col min="6159" max="6159" width="17.5" style="218" bestFit="1" customWidth="1"/>
    <col min="6160" max="6160" width="9.33203125" style="218" customWidth="1"/>
    <col min="6161" max="6161" width="16.6640625" style="218" customWidth="1"/>
    <col min="6162" max="6400" width="9.33203125" style="218" customWidth="1"/>
    <col min="6401" max="6401" width="14.83203125" style="218" customWidth="1"/>
    <col min="6402" max="6402" width="9.33203125" style="218" customWidth="1"/>
    <col min="6403" max="6403" width="20" style="218" customWidth="1"/>
    <col min="6404" max="6404" width="5.6640625" style="218" customWidth="1"/>
    <col min="6405" max="6405" width="18" style="218" bestFit="1" customWidth="1"/>
    <col min="6406" max="6406" width="19.1640625" style="218" bestFit="1" customWidth="1"/>
    <col min="6407" max="6407" width="2" style="218" customWidth="1"/>
    <col min="6408" max="6408" width="15.5" style="218" bestFit="1" customWidth="1"/>
    <col min="6409" max="6410" width="15.83203125" style="218" bestFit="1" customWidth="1"/>
    <col min="6411" max="6411" width="14" style="218" bestFit="1" customWidth="1"/>
    <col min="6412" max="6412" width="14.1640625" style="218" bestFit="1" customWidth="1"/>
    <col min="6413" max="6413" width="17.5" style="218" bestFit="1" customWidth="1"/>
    <col min="6414" max="6414" width="15.83203125" style="218" bestFit="1" customWidth="1"/>
    <col min="6415" max="6415" width="17.5" style="218" bestFit="1" customWidth="1"/>
    <col min="6416" max="6416" width="9.33203125" style="218" customWidth="1"/>
    <col min="6417" max="6417" width="16.6640625" style="218" customWidth="1"/>
    <col min="6418" max="6656" width="9.33203125" style="218" customWidth="1"/>
    <col min="6657" max="6657" width="14.83203125" style="218" customWidth="1"/>
    <col min="6658" max="6658" width="9.33203125" style="218" customWidth="1"/>
    <col min="6659" max="6659" width="20" style="218" customWidth="1"/>
    <col min="6660" max="6660" width="5.6640625" style="218" customWidth="1"/>
    <col min="6661" max="6661" width="18" style="218" bestFit="1" customWidth="1"/>
    <col min="6662" max="6662" width="19.1640625" style="218" bestFit="1" customWidth="1"/>
    <col min="6663" max="6663" width="2" style="218" customWidth="1"/>
    <col min="6664" max="6664" width="15.5" style="218" bestFit="1" customWidth="1"/>
    <col min="6665" max="6666" width="15.83203125" style="218" bestFit="1" customWidth="1"/>
    <col min="6667" max="6667" width="14" style="218" bestFit="1" customWidth="1"/>
    <col min="6668" max="6668" width="14.1640625" style="218" bestFit="1" customWidth="1"/>
    <col min="6669" max="6669" width="17.5" style="218" bestFit="1" customWidth="1"/>
    <col min="6670" max="6670" width="15.83203125" style="218" bestFit="1" customWidth="1"/>
    <col min="6671" max="6671" width="17.5" style="218" bestFit="1" customWidth="1"/>
    <col min="6672" max="6672" width="9.33203125" style="218" customWidth="1"/>
    <col min="6673" max="6673" width="16.6640625" style="218" customWidth="1"/>
    <col min="6674" max="6912" width="9.33203125" style="218" customWidth="1"/>
    <col min="6913" max="6913" width="14.83203125" style="218" customWidth="1"/>
    <col min="6914" max="6914" width="9.33203125" style="218" customWidth="1"/>
    <col min="6915" max="6915" width="20" style="218" customWidth="1"/>
    <col min="6916" max="6916" width="5.6640625" style="218" customWidth="1"/>
    <col min="6917" max="6917" width="18" style="218" bestFit="1" customWidth="1"/>
    <col min="6918" max="6918" width="19.1640625" style="218" bestFit="1" customWidth="1"/>
    <col min="6919" max="6919" width="2" style="218" customWidth="1"/>
    <col min="6920" max="6920" width="15.5" style="218" bestFit="1" customWidth="1"/>
    <col min="6921" max="6922" width="15.83203125" style="218" bestFit="1" customWidth="1"/>
    <col min="6923" max="6923" width="14" style="218" bestFit="1" customWidth="1"/>
    <col min="6924" max="6924" width="14.1640625" style="218" bestFit="1" customWidth="1"/>
    <col min="6925" max="6925" width="17.5" style="218" bestFit="1" customWidth="1"/>
    <col min="6926" max="6926" width="15.83203125" style="218" bestFit="1" customWidth="1"/>
    <col min="6927" max="6927" width="17.5" style="218" bestFit="1" customWidth="1"/>
    <col min="6928" max="6928" width="9.33203125" style="218" customWidth="1"/>
    <col min="6929" max="6929" width="16.6640625" style="218" customWidth="1"/>
    <col min="6930" max="7168" width="9.33203125" style="218" customWidth="1"/>
    <col min="7169" max="7169" width="14.83203125" style="218" customWidth="1"/>
    <col min="7170" max="7170" width="9.33203125" style="218" customWidth="1"/>
    <col min="7171" max="7171" width="20" style="218" customWidth="1"/>
    <col min="7172" max="7172" width="5.6640625" style="218" customWidth="1"/>
    <col min="7173" max="7173" width="18" style="218" bestFit="1" customWidth="1"/>
    <col min="7174" max="7174" width="19.1640625" style="218" bestFit="1" customWidth="1"/>
    <col min="7175" max="7175" width="2" style="218" customWidth="1"/>
    <col min="7176" max="7176" width="15.5" style="218" bestFit="1" customWidth="1"/>
    <col min="7177" max="7178" width="15.83203125" style="218" bestFit="1" customWidth="1"/>
    <col min="7179" max="7179" width="14" style="218" bestFit="1" customWidth="1"/>
    <col min="7180" max="7180" width="14.1640625" style="218" bestFit="1" customWidth="1"/>
    <col min="7181" max="7181" width="17.5" style="218" bestFit="1" customWidth="1"/>
    <col min="7182" max="7182" width="15.83203125" style="218" bestFit="1" customWidth="1"/>
    <col min="7183" max="7183" width="17.5" style="218" bestFit="1" customWidth="1"/>
    <col min="7184" max="7184" width="9.33203125" style="218" customWidth="1"/>
    <col min="7185" max="7185" width="16.6640625" style="218" customWidth="1"/>
    <col min="7186" max="7424" width="9.33203125" style="218" customWidth="1"/>
    <col min="7425" max="7425" width="14.83203125" style="218" customWidth="1"/>
    <col min="7426" max="7426" width="9.33203125" style="218" customWidth="1"/>
    <col min="7427" max="7427" width="20" style="218" customWidth="1"/>
    <col min="7428" max="7428" width="5.6640625" style="218" customWidth="1"/>
    <col min="7429" max="7429" width="18" style="218" bestFit="1" customWidth="1"/>
    <col min="7430" max="7430" width="19.1640625" style="218" bestFit="1" customWidth="1"/>
    <col min="7431" max="7431" width="2" style="218" customWidth="1"/>
    <col min="7432" max="7432" width="15.5" style="218" bestFit="1" customWidth="1"/>
    <col min="7433" max="7434" width="15.83203125" style="218" bestFit="1" customWidth="1"/>
    <col min="7435" max="7435" width="14" style="218" bestFit="1" customWidth="1"/>
    <col min="7436" max="7436" width="14.1640625" style="218" bestFit="1" customWidth="1"/>
    <col min="7437" max="7437" width="17.5" style="218" bestFit="1" customWidth="1"/>
    <col min="7438" max="7438" width="15.83203125" style="218" bestFit="1" customWidth="1"/>
    <col min="7439" max="7439" width="17.5" style="218" bestFit="1" customWidth="1"/>
    <col min="7440" max="7440" width="9.33203125" style="218" customWidth="1"/>
    <col min="7441" max="7441" width="16.6640625" style="218" customWidth="1"/>
    <col min="7442" max="7680" width="9.33203125" style="218" customWidth="1"/>
    <col min="7681" max="7681" width="14.83203125" style="218" customWidth="1"/>
    <col min="7682" max="7682" width="9.33203125" style="218" customWidth="1"/>
    <col min="7683" max="7683" width="20" style="218" customWidth="1"/>
    <col min="7684" max="7684" width="5.6640625" style="218" customWidth="1"/>
    <col min="7685" max="7685" width="18" style="218" bestFit="1" customWidth="1"/>
    <col min="7686" max="7686" width="19.1640625" style="218" bestFit="1" customWidth="1"/>
    <col min="7687" max="7687" width="2" style="218" customWidth="1"/>
    <col min="7688" max="7688" width="15.5" style="218" bestFit="1" customWidth="1"/>
    <col min="7689" max="7690" width="15.83203125" style="218" bestFit="1" customWidth="1"/>
    <col min="7691" max="7691" width="14" style="218" bestFit="1" customWidth="1"/>
    <col min="7692" max="7692" width="14.1640625" style="218" bestFit="1" customWidth="1"/>
    <col min="7693" max="7693" width="17.5" style="218" bestFit="1" customWidth="1"/>
    <col min="7694" max="7694" width="15.83203125" style="218" bestFit="1" customWidth="1"/>
    <col min="7695" max="7695" width="17.5" style="218" bestFit="1" customWidth="1"/>
    <col min="7696" max="7696" width="9.33203125" style="218" customWidth="1"/>
    <col min="7697" max="7697" width="16.6640625" style="218" customWidth="1"/>
    <col min="7698" max="7936" width="9.33203125" style="218" customWidth="1"/>
    <col min="7937" max="7937" width="14.83203125" style="218" customWidth="1"/>
    <col min="7938" max="7938" width="9.33203125" style="218" customWidth="1"/>
    <col min="7939" max="7939" width="20" style="218" customWidth="1"/>
    <col min="7940" max="7940" width="5.6640625" style="218" customWidth="1"/>
    <col min="7941" max="7941" width="18" style="218" bestFit="1" customWidth="1"/>
    <col min="7942" max="7942" width="19.1640625" style="218" bestFit="1" customWidth="1"/>
    <col min="7943" max="7943" width="2" style="218" customWidth="1"/>
    <col min="7944" max="7944" width="15.5" style="218" bestFit="1" customWidth="1"/>
    <col min="7945" max="7946" width="15.83203125" style="218" bestFit="1" customWidth="1"/>
    <col min="7947" max="7947" width="14" style="218" bestFit="1" customWidth="1"/>
    <col min="7948" max="7948" width="14.1640625" style="218" bestFit="1" customWidth="1"/>
    <col min="7949" max="7949" width="17.5" style="218" bestFit="1" customWidth="1"/>
    <col min="7950" max="7950" width="15.83203125" style="218" bestFit="1" customWidth="1"/>
    <col min="7951" max="7951" width="17.5" style="218" bestFit="1" customWidth="1"/>
    <col min="7952" max="7952" width="9.33203125" style="218" customWidth="1"/>
    <col min="7953" max="7953" width="16.6640625" style="218" customWidth="1"/>
    <col min="7954" max="8192" width="9.33203125" style="218" customWidth="1"/>
    <col min="8193" max="8193" width="14.83203125" style="218" customWidth="1"/>
    <col min="8194" max="8194" width="9.33203125" style="218" customWidth="1"/>
    <col min="8195" max="8195" width="20" style="218" customWidth="1"/>
    <col min="8196" max="8196" width="5.6640625" style="218" customWidth="1"/>
    <col min="8197" max="8197" width="18" style="218" bestFit="1" customWidth="1"/>
    <col min="8198" max="8198" width="19.1640625" style="218" bestFit="1" customWidth="1"/>
    <col min="8199" max="8199" width="2" style="218" customWidth="1"/>
    <col min="8200" max="8200" width="15.5" style="218" bestFit="1" customWidth="1"/>
    <col min="8201" max="8202" width="15.83203125" style="218" bestFit="1" customWidth="1"/>
    <col min="8203" max="8203" width="14" style="218" bestFit="1" customWidth="1"/>
    <col min="8204" max="8204" width="14.1640625" style="218" bestFit="1" customWidth="1"/>
    <col min="8205" max="8205" width="17.5" style="218" bestFit="1" customWidth="1"/>
    <col min="8206" max="8206" width="15.83203125" style="218" bestFit="1" customWidth="1"/>
    <col min="8207" max="8207" width="17.5" style="218" bestFit="1" customWidth="1"/>
    <col min="8208" max="8208" width="9.33203125" style="218" customWidth="1"/>
    <col min="8209" max="8209" width="16.6640625" style="218" customWidth="1"/>
    <col min="8210" max="8448" width="9.33203125" style="218" customWidth="1"/>
    <col min="8449" max="8449" width="14.83203125" style="218" customWidth="1"/>
    <col min="8450" max="8450" width="9.33203125" style="218" customWidth="1"/>
    <col min="8451" max="8451" width="20" style="218" customWidth="1"/>
    <col min="8452" max="8452" width="5.6640625" style="218" customWidth="1"/>
    <col min="8453" max="8453" width="18" style="218" bestFit="1" customWidth="1"/>
    <col min="8454" max="8454" width="19.1640625" style="218" bestFit="1" customWidth="1"/>
    <col min="8455" max="8455" width="2" style="218" customWidth="1"/>
    <col min="8456" max="8456" width="15.5" style="218" bestFit="1" customWidth="1"/>
    <col min="8457" max="8458" width="15.83203125" style="218" bestFit="1" customWidth="1"/>
    <col min="8459" max="8459" width="14" style="218" bestFit="1" customWidth="1"/>
    <col min="8460" max="8460" width="14.1640625" style="218" bestFit="1" customWidth="1"/>
    <col min="8461" max="8461" width="17.5" style="218" bestFit="1" customWidth="1"/>
    <col min="8462" max="8462" width="15.83203125" style="218" bestFit="1" customWidth="1"/>
    <col min="8463" max="8463" width="17.5" style="218" bestFit="1" customWidth="1"/>
    <col min="8464" max="8464" width="9.33203125" style="218" customWidth="1"/>
    <col min="8465" max="8465" width="16.6640625" style="218" customWidth="1"/>
    <col min="8466" max="8704" width="9.33203125" style="218" customWidth="1"/>
    <col min="8705" max="8705" width="14.83203125" style="218" customWidth="1"/>
    <col min="8706" max="8706" width="9.33203125" style="218" customWidth="1"/>
    <col min="8707" max="8707" width="20" style="218" customWidth="1"/>
    <col min="8708" max="8708" width="5.6640625" style="218" customWidth="1"/>
    <col min="8709" max="8709" width="18" style="218" bestFit="1" customWidth="1"/>
    <col min="8710" max="8710" width="19.1640625" style="218" bestFit="1" customWidth="1"/>
    <col min="8711" max="8711" width="2" style="218" customWidth="1"/>
    <col min="8712" max="8712" width="15.5" style="218" bestFit="1" customWidth="1"/>
    <col min="8713" max="8714" width="15.83203125" style="218" bestFit="1" customWidth="1"/>
    <col min="8715" max="8715" width="14" style="218" bestFit="1" customWidth="1"/>
    <col min="8716" max="8716" width="14.1640625" style="218" bestFit="1" customWidth="1"/>
    <col min="8717" max="8717" width="17.5" style="218" bestFit="1" customWidth="1"/>
    <col min="8718" max="8718" width="15.83203125" style="218" bestFit="1" customWidth="1"/>
    <col min="8719" max="8719" width="17.5" style="218" bestFit="1" customWidth="1"/>
    <col min="8720" max="8720" width="9.33203125" style="218" customWidth="1"/>
    <col min="8721" max="8721" width="16.6640625" style="218" customWidth="1"/>
    <col min="8722" max="8960" width="9.33203125" style="218" customWidth="1"/>
    <col min="8961" max="8961" width="14.83203125" style="218" customWidth="1"/>
    <col min="8962" max="8962" width="9.33203125" style="218" customWidth="1"/>
    <col min="8963" max="8963" width="20" style="218" customWidth="1"/>
    <col min="8964" max="8964" width="5.6640625" style="218" customWidth="1"/>
    <col min="8965" max="8965" width="18" style="218" bestFit="1" customWidth="1"/>
    <col min="8966" max="8966" width="19.1640625" style="218" bestFit="1" customWidth="1"/>
    <col min="8967" max="8967" width="2" style="218" customWidth="1"/>
    <col min="8968" max="8968" width="15.5" style="218" bestFit="1" customWidth="1"/>
    <col min="8969" max="8970" width="15.83203125" style="218" bestFit="1" customWidth="1"/>
    <col min="8971" max="8971" width="14" style="218" bestFit="1" customWidth="1"/>
    <col min="8972" max="8972" width="14.1640625" style="218" bestFit="1" customWidth="1"/>
    <col min="8973" max="8973" width="17.5" style="218" bestFit="1" customWidth="1"/>
    <col min="8974" max="8974" width="15.83203125" style="218" bestFit="1" customWidth="1"/>
    <col min="8975" max="8975" width="17.5" style="218" bestFit="1" customWidth="1"/>
    <col min="8976" max="8976" width="9.33203125" style="218" customWidth="1"/>
    <col min="8977" max="8977" width="16.6640625" style="218" customWidth="1"/>
    <col min="8978" max="9216" width="9.33203125" style="218" customWidth="1"/>
    <col min="9217" max="9217" width="14.83203125" style="218" customWidth="1"/>
    <col min="9218" max="9218" width="9.33203125" style="218" customWidth="1"/>
    <col min="9219" max="9219" width="20" style="218" customWidth="1"/>
    <col min="9220" max="9220" width="5.6640625" style="218" customWidth="1"/>
    <col min="9221" max="9221" width="18" style="218" bestFit="1" customWidth="1"/>
    <col min="9222" max="9222" width="19.1640625" style="218" bestFit="1" customWidth="1"/>
    <col min="9223" max="9223" width="2" style="218" customWidth="1"/>
    <col min="9224" max="9224" width="15.5" style="218" bestFit="1" customWidth="1"/>
    <col min="9225" max="9226" width="15.83203125" style="218" bestFit="1" customWidth="1"/>
    <col min="9227" max="9227" width="14" style="218" bestFit="1" customWidth="1"/>
    <col min="9228" max="9228" width="14.1640625" style="218" bestFit="1" customWidth="1"/>
    <col min="9229" max="9229" width="17.5" style="218" bestFit="1" customWidth="1"/>
    <col min="9230" max="9230" width="15.83203125" style="218" bestFit="1" customWidth="1"/>
    <col min="9231" max="9231" width="17.5" style="218" bestFit="1" customWidth="1"/>
    <col min="9232" max="9232" width="9.33203125" style="218" customWidth="1"/>
    <col min="9233" max="9233" width="16.6640625" style="218" customWidth="1"/>
    <col min="9234" max="9472" width="9.33203125" style="218" customWidth="1"/>
    <col min="9473" max="9473" width="14.83203125" style="218" customWidth="1"/>
    <col min="9474" max="9474" width="9.33203125" style="218" customWidth="1"/>
    <col min="9475" max="9475" width="20" style="218" customWidth="1"/>
    <col min="9476" max="9476" width="5.6640625" style="218" customWidth="1"/>
    <col min="9477" max="9477" width="18" style="218" bestFit="1" customWidth="1"/>
    <col min="9478" max="9478" width="19.1640625" style="218" bestFit="1" customWidth="1"/>
    <col min="9479" max="9479" width="2" style="218" customWidth="1"/>
    <col min="9480" max="9480" width="15.5" style="218" bestFit="1" customWidth="1"/>
    <col min="9481" max="9482" width="15.83203125" style="218" bestFit="1" customWidth="1"/>
    <col min="9483" max="9483" width="14" style="218" bestFit="1" customWidth="1"/>
    <col min="9484" max="9484" width="14.1640625" style="218" bestFit="1" customWidth="1"/>
    <col min="9485" max="9485" width="17.5" style="218" bestFit="1" customWidth="1"/>
    <col min="9486" max="9486" width="15.83203125" style="218" bestFit="1" customWidth="1"/>
    <col min="9487" max="9487" width="17.5" style="218" bestFit="1" customWidth="1"/>
    <col min="9488" max="9488" width="9.33203125" style="218" customWidth="1"/>
    <col min="9489" max="9489" width="16.6640625" style="218" customWidth="1"/>
    <col min="9490" max="9728" width="9.33203125" style="218" customWidth="1"/>
    <col min="9729" max="9729" width="14.83203125" style="218" customWidth="1"/>
    <col min="9730" max="9730" width="9.33203125" style="218" customWidth="1"/>
    <col min="9731" max="9731" width="20" style="218" customWidth="1"/>
    <col min="9732" max="9732" width="5.6640625" style="218" customWidth="1"/>
    <col min="9733" max="9733" width="18" style="218" bestFit="1" customWidth="1"/>
    <col min="9734" max="9734" width="19.1640625" style="218" bestFit="1" customWidth="1"/>
    <col min="9735" max="9735" width="2" style="218" customWidth="1"/>
    <col min="9736" max="9736" width="15.5" style="218" bestFit="1" customWidth="1"/>
    <col min="9737" max="9738" width="15.83203125" style="218" bestFit="1" customWidth="1"/>
    <col min="9739" max="9739" width="14" style="218" bestFit="1" customWidth="1"/>
    <col min="9740" max="9740" width="14.1640625" style="218" bestFit="1" customWidth="1"/>
    <col min="9741" max="9741" width="17.5" style="218" bestFit="1" customWidth="1"/>
    <col min="9742" max="9742" width="15.83203125" style="218" bestFit="1" customWidth="1"/>
    <col min="9743" max="9743" width="17.5" style="218" bestFit="1" customWidth="1"/>
    <col min="9744" max="9744" width="9.33203125" style="218" customWidth="1"/>
    <col min="9745" max="9745" width="16.6640625" style="218" customWidth="1"/>
    <col min="9746" max="9984" width="9.33203125" style="218" customWidth="1"/>
    <col min="9985" max="9985" width="14.83203125" style="218" customWidth="1"/>
    <col min="9986" max="9986" width="9.33203125" style="218" customWidth="1"/>
    <col min="9987" max="9987" width="20" style="218" customWidth="1"/>
    <col min="9988" max="9988" width="5.6640625" style="218" customWidth="1"/>
    <col min="9989" max="9989" width="18" style="218" bestFit="1" customWidth="1"/>
    <col min="9990" max="9990" width="19.1640625" style="218" bestFit="1" customWidth="1"/>
    <col min="9991" max="9991" width="2" style="218" customWidth="1"/>
    <col min="9992" max="9992" width="15.5" style="218" bestFit="1" customWidth="1"/>
    <col min="9993" max="9994" width="15.83203125" style="218" bestFit="1" customWidth="1"/>
    <col min="9995" max="9995" width="14" style="218" bestFit="1" customWidth="1"/>
    <col min="9996" max="9996" width="14.1640625" style="218" bestFit="1" customWidth="1"/>
    <col min="9997" max="9997" width="17.5" style="218" bestFit="1" customWidth="1"/>
    <col min="9998" max="9998" width="15.83203125" style="218" bestFit="1" customWidth="1"/>
    <col min="9999" max="9999" width="17.5" style="218" bestFit="1" customWidth="1"/>
    <col min="10000" max="10000" width="9.33203125" style="218" customWidth="1"/>
    <col min="10001" max="10001" width="16.6640625" style="218" customWidth="1"/>
    <col min="10002" max="10240" width="9.33203125" style="218" customWidth="1"/>
    <col min="10241" max="10241" width="14.83203125" style="218" customWidth="1"/>
    <col min="10242" max="10242" width="9.33203125" style="218" customWidth="1"/>
    <col min="10243" max="10243" width="20" style="218" customWidth="1"/>
    <col min="10244" max="10244" width="5.6640625" style="218" customWidth="1"/>
    <col min="10245" max="10245" width="18" style="218" bestFit="1" customWidth="1"/>
    <col min="10246" max="10246" width="19.1640625" style="218" bestFit="1" customWidth="1"/>
    <col min="10247" max="10247" width="2" style="218" customWidth="1"/>
    <col min="10248" max="10248" width="15.5" style="218" bestFit="1" customWidth="1"/>
    <col min="10249" max="10250" width="15.83203125" style="218" bestFit="1" customWidth="1"/>
    <col min="10251" max="10251" width="14" style="218" bestFit="1" customWidth="1"/>
    <col min="10252" max="10252" width="14.1640625" style="218" bestFit="1" customWidth="1"/>
    <col min="10253" max="10253" width="17.5" style="218" bestFit="1" customWidth="1"/>
    <col min="10254" max="10254" width="15.83203125" style="218" bestFit="1" customWidth="1"/>
    <col min="10255" max="10255" width="17.5" style="218" bestFit="1" customWidth="1"/>
    <col min="10256" max="10256" width="9.33203125" style="218" customWidth="1"/>
    <col min="10257" max="10257" width="16.6640625" style="218" customWidth="1"/>
    <col min="10258" max="10496" width="9.33203125" style="218" customWidth="1"/>
    <col min="10497" max="10497" width="14.83203125" style="218" customWidth="1"/>
    <col min="10498" max="10498" width="9.33203125" style="218" customWidth="1"/>
    <col min="10499" max="10499" width="20" style="218" customWidth="1"/>
    <col min="10500" max="10500" width="5.6640625" style="218" customWidth="1"/>
    <col min="10501" max="10501" width="18" style="218" bestFit="1" customWidth="1"/>
    <col min="10502" max="10502" width="19.1640625" style="218" bestFit="1" customWidth="1"/>
    <col min="10503" max="10503" width="2" style="218" customWidth="1"/>
    <col min="10504" max="10504" width="15.5" style="218" bestFit="1" customWidth="1"/>
    <col min="10505" max="10506" width="15.83203125" style="218" bestFit="1" customWidth="1"/>
    <col min="10507" max="10507" width="14" style="218" bestFit="1" customWidth="1"/>
    <col min="10508" max="10508" width="14.1640625" style="218" bestFit="1" customWidth="1"/>
    <col min="10509" max="10509" width="17.5" style="218" bestFit="1" customWidth="1"/>
    <col min="10510" max="10510" width="15.83203125" style="218" bestFit="1" customWidth="1"/>
    <col min="10511" max="10511" width="17.5" style="218" bestFit="1" customWidth="1"/>
    <col min="10512" max="10512" width="9.33203125" style="218" customWidth="1"/>
    <col min="10513" max="10513" width="16.6640625" style="218" customWidth="1"/>
    <col min="10514" max="10752" width="9.33203125" style="218" customWidth="1"/>
    <col min="10753" max="10753" width="14.83203125" style="218" customWidth="1"/>
    <col min="10754" max="10754" width="9.33203125" style="218" customWidth="1"/>
    <col min="10755" max="10755" width="20" style="218" customWidth="1"/>
    <col min="10756" max="10756" width="5.6640625" style="218" customWidth="1"/>
    <col min="10757" max="10757" width="18" style="218" bestFit="1" customWidth="1"/>
    <col min="10758" max="10758" width="19.1640625" style="218" bestFit="1" customWidth="1"/>
    <col min="10759" max="10759" width="2" style="218" customWidth="1"/>
    <col min="10760" max="10760" width="15.5" style="218" bestFit="1" customWidth="1"/>
    <col min="10761" max="10762" width="15.83203125" style="218" bestFit="1" customWidth="1"/>
    <col min="10763" max="10763" width="14" style="218" bestFit="1" customWidth="1"/>
    <col min="10764" max="10764" width="14.1640625" style="218" bestFit="1" customWidth="1"/>
    <col min="10765" max="10765" width="17.5" style="218" bestFit="1" customWidth="1"/>
    <col min="10766" max="10766" width="15.83203125" style="218" bestFit="1" customWidth="1"/>
    <col min="10767" max="10767" width="17.5" style="218" bestFit="1" customWidth="1"/>
    <col min="10768" max="10768" width="9.33203125" style="218" customWidth="1"/>
    <col min="10769" max="10769" width="16.6640625" style="218" customWidth="1"/>
    <col min="10770" max="11008" width="9.33203125" style="218" customWidth="1"/>
    <col min="11009" max="11009" width="14.83203125" style="218" customWidth="1"/>
    <col min="11010" max="11010" width="9.33203125" style="218" customWidth="1"/>
    <col min="11011" max="11011" width="20" style="218" customWidth="1"/>
    <col min="11012" max="11012" width="5.6640625" style="218" customWidth="1"/>
    <col min="11013" max="11013" width="18" style="218" bestFit="1" customWidth="1"/>
    <col min="11014" max="11014" width="19.1640625" style="218" bestFit="1" customWidth="1"/>
    <col min="11015" max="11015" width="2" style="218" customWidth="1"/>
    <col min="11016" max="11016" width="15.5" style="218" bestFit="1" customWidth="1"/>
    <col min="11017" max="11018" width="15.83203125" style="218" bestFit="1" customWidth="1"/>
    <col min="11019" max="11019" width="14" style="218" bestFit="1" customWidth="1"/>
    <col min="11020" max="11020" width="14.1640625" style="218" bestFit="1" customWidth="1"/>
    <col min="11021" max="11021" width="17.5" style="218" bestFit="1" customWidth="1"/>
    <col min="11022" max="11022" width="15.83203125" style="218" bestFit="1" customWidth="1"/>
    <col min="11023" max="11023" width="17.5" style="218" bestFit="1" customWidth="1"/>
    <col min="11024" max="11024" width="9.33203125" style="218" customWidth="1"/>
    <col min="11025" max="11025" width="16.6640625" style="218" customWidth="1"/>
    <col min="11026" max="11264" width="9.33203125" style="218" customWidth="1"/>
    <col min="11265" max="11265" width="14.83203125" style="218" customWidth="1"/>
    <col min="11266" max="11266" width="9.33203125" style="218" customWidth="1"/>
    <col min="11267" max="11267" width="20" style="218" customWidth="1"/>
    <col min="11268" max="11268" width="5.6640625" style="218" customWidth="1"/>
    <col min="11269" max="11269" width="18" style="218" bestFit="1" customWidth="1"/>
    <col min="11270" max="11270" width="19.1640625" style="218" bestFit="1" customWidth="1"/>
    <col min="11271" max="11271" width="2" style="218" customWidth="1"/>
    <col min="11272" max="11272" width="15.5" style="218" bestFit="1" customWidth="1"/>
    <col min="11273" max="11274" width="15.83203125" style="218" bestFit="1" customWidth="1"/>
    <col min="11275" max="11275" width="14" style="218" bestFit="1" customWidth="1"/>
    <col min="11276" max="11276" width="14.1640625" style="218" bestFit="1" customWidth="1"/>
    <col min="11277" max="11277" width="17.5" style="218" bestFit="1" customWidth="1"/>
    <col min="11278" max="11278" width="15.83203125" style="218" bestFit="1" customWidth="1"/>
    <col min="11279" max="11279" width="17.5" style="218" bestFit="1" customWidth="1"/>
    <col min="11280" max="11280" width="9.33203125" style="218" customWidth="1"/>
    <col min="11281" max="11281" width="16.6640625" style="218" customWidth="1"/>
    <col min="11282" max="11520" width="9.33203125" style="218" customWidth="1"/>
    <col min="11521" max="11521" width="14.83203125" style="218" customWidth="1"/>
    <col min="11522" max="11522" width="9.33203125" style="218" customWidth="1"/>
    <col min="11523" max="11523" width="20" style="218" customWidth="1"/>
    <col min="11524" max="11524" width="5.6640625" style="218" customWidth="1"/>
    <col min="11525" max="11525" width="18" style="218" bestFit="1" customWidth="1"/>
    <col min="11526" max="11526" width="19.1640625" style="218" bestFit="1" customWidth="1"/>
    <col min="11527" max="11527" width="2" style="218" customWidth="1"/>
    <col min="11528" max="11528" width="15.5" style="218" bestFit="1" customWidth="1"/>
    <col min="11529" max="11530" width="15.83203125" style="218" bestFit="1" customWidth="1"/>
    <col min="11531" max="11531" width="14" style="218" bestFit="1" customWidth="1"/>
    <col min="11532" max="11532" width="14.1640625" style="218" bestFit="1" customWidth="1"/>
    <col min="11533" max="11533" width="17.5" style="218" bestFit="1" customWidth="1"/>
    <col min="11534" max="11534" width="15.83203125" style="218" bestFit="1" customWidth="1"/>
    <col min="11535" max="11535" width="17.5" style="218" bestFit="1" customWidth="1"/>
    <col min="11536" max="11536" width="9.33203125" style="218" customWidth="1"/>
    <col min="11537" max="11537" width="16.6640625" style="218" customWidth="1"/>
    <col min="11538" max="11776" width="9.33203125" style="218" customWidth="1"/>
    <col min="11777" max="11777" width="14.83203125" style="218" customWidth="1"/>
    <col min="11778" max="11778" width="9.33203125" style="218" customWidth="1"/>
    <col min="11779" max="11779" width="20" style="218" customWidth="1"/>
    <col min="11780" max="11780" width="5.6640625" style="218" customWidth="1"/>
    <col min="11781" max="11781" width="18" style="218" bestFit="1" customWidth="1"/>
    <col min="11782" max="11782" width="19.1640625" style="218" bestFit="1" customWidth="1"/>
    <col min="11783" max="11783" width="2" style="218" customWidth="1"/>
    <col min="11784" max="11784" width="15.5" style="218" bestFit="1" customWidth="1"/>
    <col min="11785" max="11786" width="15.83203125" style="218" bestFit="1" customWidth="1"/>
    <col min="11787" max="11787" width="14" style="218" bestFit="1" customWidth="1"/>
    <col min="11788" max="11788" width="14.1640625" style="218" bestFit="1" customWidth="1"/>
    <col min="11789" max="11789" width="17.5" style="218" bestFit="1" customWidth="1"/>
    <col min="11790" max="11790" width="15.83203125" style="218" bestFit="1" customWidth="1"/>
    <col min="11791" max="11791" width="17.5" style="218" bestFit="1" customWidth="1"/>
    <col min="11792" max="11792" width="9.33203125" style="218" customWidth="1"/>
    <col min="11793" max="11793" width="16.6640625" style="218" customWidth="1"/>
    <col min="11794" max="12032" width="9.33203125" style="218" customWidth="1"/>
    <col min="12033" max="12033" width="14.83203125" style="218" customWidth="1"/>
    <col min="12034" max="12034" width="9.33203125" style="218" customWidth="1"/>
    <col min="12035" max="12035" width="20" style="218" customWidth="1"/>
    <col min="12036" max="12036" width="5.6640625" style="218" customWidth="1"/>
    <col min="12037" max="12037" width="18" style="218" bestFit="1" customWidth="1"/>
    <col min="12038" max="12038" width="19.1640625" style="218" bestFit="1" customWidth="1"/>
    <col min="12039" max="12039" width="2" style="218" customWidth="1"/>
    <col min="12040" max="12040" width="15.5" style="218" bestFit="1" customWidth="1"/>
    <col min="12041" max="12042" width="15.83203125" style="218" bestFit="1" customWidth="1"/>
    <col min="12043" max="12043" width="14" style="218" bestFit="1" customWidth="1"/>
    <col min="12044" max="12044" width="14.1640625" style="218" bestFit="1" customWidth="1"/>
    <col min="12045" max="12045" width="17.5" style="218" bestFit="1" customWidth="1"/>
    <col min="12046" max="12046" width="15.83203125" style="218" bestFit="1" customWidth="1"/>
    <col min="12047" max="12047" width="17.5" style="218" bestFit="1" customWidth="1"/>
    <col min="12048" max="12048" width="9.33203125" style="218" customWidth="1"/>
    <col min="12049" max="12049" width="16.6640625" style="218" customWidth="1"/>
    <col min="12050" max="12288" width="9.33203125" style="218" customWidth="1"/>
    <col min="12289" max="12289" width="14.83203125" style="218" customWidth="1"/>
    <col min="12290" max="12290" width="9.33203125" style="218" customWidth="1"/>
    <col min="12291" max="12291" width="20" style="218" customWidth="1"/>
    <col min="12292" max="12292" width="5.6640625" style="218" customWidth="1"/>
    <col min="12293" max="12293" width="18" style="218" bestFit="1" customWidth="1"/>
    <col min="12294" max="12294" width="19.1640625" style="218" bestFit="1" customWidth="1"/>
    <col min="12295" max="12295" width="2" style="218" customWidth="1"/>
    <col min="12296" max="12296" width="15.5" style="218" bestFit="1" customWidth="1"/>
    <col min="12297" max="12298" width="15.83203125" style="218" bestFit="1" customWidth="1"/>
    <col min="12299" max="12299" width="14" style="218" bestFit="1" customWidth="1"/>
    <col min="12300" max="12300" width="14.1640625" style="218" bestFit="1" customWidth="1"/>
    <col min="12301" max="12301" width="17.5" style="218" bestFit="1" customWidth="1"/>
    <col min="12302" max="12302" width="15.83203125" style="218" bestFit="1" customWidth="1"/>
    <col min="12303" max="12303" width="17.5" style="218" bestFit="1" customWidth="1"/>
    <col min="12304" max="12304" width="9.33203125" style="218" customWidth="1"/>
    <col min="12305" max="12305" width="16.6640625" style="218" customWidth="1"/>
    <col min="12306" max="12544" width="9.33203125" style="218" customWidth="1"/>
    <col min="12545" max="12545" width="14.83203125" style="218" customWidth="1"/>
    <col min="12546" max="12546" width="9.33203125" style="218" customWidth="1"/>
    <col min="12547" max="12547" width="20" style="218" customWidth="1"/>
    <col min="12548" max="12548" width="5.6640625" style="218" customWidth="1"/>
    <col min="12549" max="12549" width="18" style="218" bestFit="1" customWidth="1"/>
    <col min="12550" max="12550" width="19.1640625" style="218" bestFit="1" customWidth="1"/>
    <col min="12551" max="12551" width="2" style="218" customWidth="1"/>
    <col min="12552" max="12552" width="15.5" style="218" bestFit="1" customWidth="1"/>
    <col min="12553" max="12554" width="15.83203125" style="218" bestFit="1" customWidth="1"/>
    <col min="12555" max="12555" width="14" style="218" bestFit="1" customWidth="1"/>
    <col min="12556" max="12556" width="14.1640625" style="218" bestFit="1" customWidth="1"/>
    <col min="12557" max="12557" width="17.5" style="218" bestFit="1" customWidth="1"/>
    <col min="12558" max="12558" width="15.83203125" style="218" bestFit="1" customWidth="1"/>
    <col min="12559" max="12559" width="17.5" style="218" bestFit="1" customWidth="1"/>
    <col min="12560" max="12560" width="9.33203125" style="218" customWidth="1"/>
    <col min="12561" max="12561" width="16.6640625" style="218" customWidth="1"/>
    <col min="12562" max="12800" width="9.33203125" style="218" customWidth="1"/>
    <col min="12801" max="12801" width="14.83203125" style="218" customWidth="1"/>
    <col min="12802" max="12802" width="9.33203125" style="218" customWidth="1"/>
    <col min="12803" max="12803" width="20" style="218" customWidth="1"/>
    <col min="12804" max="12804" width="5.6640625" style="218" customWidth="1"/>
    <col min="12805" max="12805" width="18" style="218" bestFit="1" customWidth="1"/>
    <col min="12806" max="12806" width="19.1640625" style="218" bestFit="1" customWidth="1"/>
    <col min="12807" max="12807" width="2" style="218" customWidth="1"/>
    <col min="12808" max="12808" width="15.5" style="218" bestFit="1" customWidth="1"/>
    <col min="12809" max="12810" width="15.83203125" style="218" bestFit="1" customWidth="1"/>
    <col min="12811" max="12811" width="14" style="218" bestFit="1" customWidth="1"/>
    <col min="12812" max="12812" width="14.1640625" style="218" bestFit="1" customWidth="1"/>
    <col min="12813" max="12813" width="17.5" style="218" bestFit="1" customWidth="1"/>
    <col min="12814" max="12814" width="15.83203125" style="218" bestFit="1" customWidth="1"/>
    <col min="12815" max="12815" width="17.5" style="218" bestFit="1" customWidth="1"/>
    <col min="12816" max="12816" width="9.33203125" style="218" customWidth="1"/>
    <col min="12817" max="12817" width="16.6640625" style="218" customWidth="1"/>
    <col min="12818" max="13056" width="9.33203125" style="218" customWidth="1"/>
    <col min="13057" max="13057" width="14.83203125" style="218" customWidth="1"/>
    <col min="13058" max="13058" width="9.33203125" style="218" customWidth="1"/>
    <col min="13059" max="13059" width="20" style="218" customWidth="1"/>
    <col min="13060" max="13060" width="5.6640625" style="218" customWidth="1"/>
    <col min="13061" max="13061" width="18" style="218" bestFit="1" customWidth="1"/>
    <col min="13062" max="13062" width="19.1640625" style="218" bestFit="1" customWidth="1"/>
    <col min="13063" max="13063" width="2" style="218" customWidth="1"/>
    <col min="13064" max="13064" width="15.5" style="218" bestFit="1" customWidth="1"/>
    <col min="13065" max="13066" width="15.83203125" style="218" bestFit="1" customWidth="1"/>
    <col min="13067" max="13067" width="14" style="218" bestFit="1" customWidth="1"/>
    <col min="13068" max="13068" width="14.1640625" style="218" bestFit="1" customWidth="1"/>
    <col min="13069" max="13069" width="17.5" style="218" bestFit="1" customWidth="1"/>
    <col min="13070" max="13070" width="15.83203125" style="218" bestFit="1" customWidth="1"/>
    <col min="13071" max="13071" width="17.5" style="218" bestFit="1" customWidth="1"/>
    <col min="13072" max="13072" width="9.33203125" style="218" customWidth="1"/>
    <col min="13073" max="13073" width="16.6640625" style="218" customWidth="1"/>
    <col min="13074" max="13312" width="9.33203125" style="218" customWidth="1"/>
    <col min="13313" max="13313" width="14.83203125" style="218" customWidth="1"/>
    <col min="13314" max="13314" width="9.33203125" style="218" customWidth="1"/>
    <col min="13315" max="13315" width="20" style="218" customWidth="1"/>
    <col min="13316" max="13316" width="5.6640625" style="218" customWidth="1"/>
    <col min="13317" max="13317" width="18" style="218" bestFit="1" customWidth="1"/>
    <col min="13318" max="13318" width="19.1640625" style="218" bestFit="1" customWidth="1"/>
    <col min="13319" max="13319" width="2" style="218" customWidth="1"/>
    <col min="13320" max="13320" width="15.5" style="218" bestFit="1" customWidth="1"/>
    <col min="13321" max="13322" width="15.83203125" style="218" bestFit="1" customWidth="1"/>
    <col min="13323" max="13323" width="14" style="218" bestFit="1" customWidth="1"/>
    <col min="13324" max="13324" width="14.1640625" style="218" bestFit="1" customWidth="1"/>
    <col min="13325" max="13325" width="17.5" style="218" bestFit="1" customWidth="1"/>
    <col min="13326" max="13326" width="15.83203125" style="218" bestFit="1" customWidth="1"/>
    <col min="13327" max="13327" width="17.5" style="218" bestFit="1" customWidth="1"/>
    <col min="13328" max="13328" width="9.33203125" style="218" customWidth="1"/>
    <col min="13329" max="13329" width="16.6640625" style="218" customWidth="1"/>
    <col min="13330" max="13568" width="9.33203125" style="218" customWidth="1"/>
    <col min="13569" max="13569" width="14.83203125" style="218" customWidth="1"/>
    <col min="13570" max="13570" width="9.33203125" style="218" customWidth="1"/>
    <col min="13571" max="13571" width="20" style="218" customWidth="1"/>
    <col min="13572" max="13572" width="5.6640625" style="218" customWidth="1"/>
    <col min="13573" max="13573" width="18" style="218" bestFit="1" customWidth="1"/>
    <col min="13574" max="13574" width="19.1640625" style="218" bestFit="1" customWidth="1"/>
    <col min="13575" max="13575" width="2" style="218" customWidth="1"/>
    <col min="13576" max="13576" width="15.5" style="218" bestFit="1" customWidth="1"/>
    <col min="13577" max="13578" width="15.83203125" style="218" bestFit="1" customWidth="1"/>
    <col min="13579" max="13579" width="14" style="218" bestFit="1" customWidth="1"/>
    <col min="13580" max="13580" width="14.1640625" style="218" bestFit="1" customWidth="1"/>
    <col min="13581" max="13581" width="17.5" style="218" bestFit="1" customWidth="1"/>
    <col min="13582" max="13582" width="15.83203125" style="218" bestFit="1" customWidth="1"/>
    <col min="13583" max="13583" width="17.5" style="218" bestFit="1" customWidth="1"/>
    <col min="13584" max="13584" width="9.33203125" style="218" customWidth="1"/>
    <col min="13585" max="13585" width="16.6640625" style="218" customWidth="1"/>
    <col min="13586" max="13824" width="9.33203125" style="218" customWidth="1"/>
    <col min="13825" max="13825" width="14.83203125" style="218" customWidth="1"/>
    <col min="13826" max="13826" width="9.33203125" style="218" customWidth="1"/>
    <col min="13827" max="13827" width="20" style="218" customWidth="1"/>
    <col min="13828" max="13828" width="5.6640625" style="218" customWidth="1"/>
    <col min="13829" max="13829" width="18" style="218" bestFit="1" customWidth="1"/>
    <col min="13830" max="13830" width="19.1640625" style="218" bestFit="1" customWidth="1"/>
    <col min="13831" max="13831" width="2" style="218" customWidth="1"/>
    <col min="13832" max="13832" width="15.5" style="218" bestFit="1" customWidth="1"/>
    <col min="13833" max="13834" width="15.83203125" style="218" bestFit="1" customWidth="1"/>
    <col min="13835" max="13835" width="14" style="218" bestFit="1" customWidth="1"/>
    <col min="13836" max="13836" width="14.1640625" style="218" bestFit="1" customWidth="1"/>
    <col min="13837" max="13837" width="17.5" style="218" bestFit="1" customWidth="1"/>
    <col min="13838" max="13838" width="15.83203125" style="218" bestFit="1" customWidth="1"/>
    <col min="13839" max="13839" width="17.5" style="218" bestFit="1" customWidth="1"/>
    <col min="13840" max="13840" width="9.33203125" style="218" customWidth="1"/>
    <col min="13841" max="13841" width="16.6640625" style="218" customWidth="1"/>
    <col min="13842" max="14080" width="9.33203125" style="218" customWidth="1"/>
    <col min="14081" max="14081" width="14.83203125" style="218" customWidth="1"/>
    <col min="14082" max="14082" width="9.33203125" style="218" customWidth="1"/>
    <col min="14083" max="14083" width="20" style="218" customWidth="1"/>
    <col min="14084" max="14084" width="5.6640625" style="218" customWidth="1"/>
    <col min="14085" max="14085" width="18" style="218" bestFit="1" customWidth="1"/>
    <col min="14086" max="14086" width="19.1640625" style="218" bestFit="1" customWidth="1"/>
    <col min="14087" max="14087" width="2" style="218" customWidth="1"/>
    <col min="14088" max="14088" width="15.5" style="218" bestFit="1" customWidth="1"/>
    <col min="14089" max="14090" width="15.83203125" style="218" bestFit="1" customWidth="1"/>
    <col min="14091" max="14091" width="14" style="218" bestFit="1" customWidth="1"/>
    <col min="14092" max="14092" width="14.1640625" style="218" bestFit="1" customWidth="1"/>
    <col min="14093" max="14093" width="17.5" style="218" bestFit="1" customWidth="1"/>
    <col min="14094" max="14094" width="15.83203125" style="218" bestFit="1" customWidth="1"/>
    <col min="14095" max="14095" width="17.5" style="218" bestFit="1" customWidth="1"/>
    <col min="14096" max="14096" width="9.33203125" style="218" customWidth="1"/>
    <col min="14097" max="14097" width="16.6640625" style="218" customWidth="1"/>
    <col min="14098" max="14336" width="9.33203125" style="218" customWidth="1"/>
    <col min="14337" max="14337" width="14.83203125" style="218" customWidth="1"/>
    <col min="14338" max="14338" width="9.33203125" style="218" customWidth="1"/>
    <col min="14339" max="14339" width="20" style="218" customWidth="1"/>
    <col min="14340" max="14340" width="5.6640625" style="218" customWidth="1"/>
    <col min="14341" max="14341" width="18" style="218" bestFit="1" customWidth="1"/>
    <col min="14342" max="14342" width="19.1640625" style="218" bestFit="1" customWidth="1"/>
    <col min="14343" max="14343" width="2" style="218" customWidth="1"/>
    <col min="14344" max="14344" width="15.5" style="218" bestFit="1" customWidth="1"/>
    <col min="14345" max="14346" width="15.83203125" style="218" bestFit="1" customWidth="1"/>
    <col min="14347" max="14347" width="14" style="218" bestFit="1" customWidth="1"/>
    <col min="14348" max="14348" width="14.1640625" style="218" bestFit="1" customWidth="1"/>
    <col min="14349" max="14349" width="17.5" style="218" bestFit="1" customWidth="1"/>
    <col min="14350" max="14350" width="15.83203125" style="218" bestFit="1" customWidth="1"/>
    <col min="14351" max="14351" width="17.5" style="218" bestFit="1" customWidth="1"/>
    <col min="14352" max="14352" width="9.33203125" style="218" customWidth="1"/>
    <col min="14353" max="14353" width="16.6640625" style="218" customWidth="1"/>
    <col min="14354" max="14592" width="9.33203125" style="218" customWidth="1"/>
    <col min="14593" max="14593" width="14.83203125" style="218" customWidth="1"/>
    <col min="14594" max="14594" width="9.33203125" style="218" customWidth="1"/>
    <col min="14595" max="14595" width="20" style="218" customWidth="1"/>
    <col min="14596" max="14596" width="5.6640625" style="218" customWidth="1"/>
    <col min="14597" max="14597" width="18" style="218" bestFit="1" customWidth="1"/>
    <col min="14598" max="14598" width="19.1640625" style="218" bestFit="1" customWidth="1"/>
    <col min="14599" max="14599" width="2" style="218" customWidth="1"/>
    <col min="14600" max="14600" width="15.5" style="218" bestFit="1" customWidth="1"/>
    <col min="14601" max="14602" width="15.83203125" style="218" bestFit="1" customWidth="1"/>
    <col min="14603" max="14603" width="14" style="218" bestFit="1" customWidth="1"/>
    <col min="14604" max="14604" width="14.1640625" style="218" bestFit="1" customWidth="1"/>
    <col min="14605" max="14605" width="17.5" style="218" bestFit="1" customWidth="1"/>
    <col min="14606" max="14606" width="15.83203125" style="218" bestFit="1" customWidth="1"/>
    <col min="14607" max="14607" width="17.5" style="218" bestFit="1" customWidth="1"/>
    <col min="14608" max="14608" width="9.33203125" style="218" customWidth="1"/>
    <col min="14609" max="14609" width="16.6640625" style="218" customWidth="1"/>
    <col min="14610" max="14848" width="9.33203125" style="218" customWidth="1"/>
    <col min="14849" max="14849" width="14.83203125" style="218" customWidth="1"/>
    <col min="14850" max="14850" width="9.33203125" style="218" customWidth="1"/>
    <col min="14851" max="14851" width="20" style="218" customWidth="1"/>
    <col min="14852" max="14852" width="5.6640625" style="218" customWidth="1"/>
    <col min="14853" max="14853" width="18" style="218" bestFit="1" customWidth="1"/>
    <col min="14854" max="14854" width="19.1640625" style="218" bestFit="1" customWidth="1"/>
    <col min="14855" max="14855" width="2" style="218" customWidth="1"/>
    <col min="14856" max="14856" width="15.5" style="218" bestFit="1" customWidth="1"/>
    <col min="14857" max="14858" width="15.83203125" style="218" bestFit="1" customWidth="1"/>
    <col min="14859" max="14859" width="14" style="218" bestFit="1" customWidth="1"/>
    <col min="14860" max="14860" width="14.1640625" style="218" bestFit="1" customWidth="1"/>
    <col min="14861" max="14861" width="17.5" style="218" bestFit="1" customWidth="1"/>
    <col min="14862" max="14862" width="15.83203125" style="218" bestFit="1" customWidth="1"/>
    <col min="14863" max="14863" width="17.5" style="218" bestFit="1" customWidth="1"/>
    <col min="14864" max="14864" width="9.33203125" style="218" customWidth="1"/>
    <col min="14865" max="14865" width="16.6640625" style="218" customWidth="1"/>
    <col min="14866" max="15104" width="9.33203125" style="218" customWidth="1"/>
    <col min="15105" max="15105" width="14.83203125" style="218" customWidth="1"/>
    <col min="15106" max="15106" width="9.33203125" style="218" customWidth="1"/>
    <col min="15107" max="15107" width="20" style="218" customWidth="1"/>
    <col min="15108" max="15108" width="5.6640625" style="218" customWidth="1"/>
    <col min="15109" max="15109" width="18" style="218" bestFit="1" customWidth="1"/>
    <col min="15110" max="15110" width="19.1640625" style="218" bestFit="1" customWidth="1"/>
    <col min="15111" max="15111" width="2" style="218" customWidth="1"/>
    <col min="15112" max="15112" width="15.5" style="218" bestFit="1" customWidth="1"/>
    <col min="15113" max="15114" width="15.83203125" style="218" bestFit="1" customWidth="1"/>
    <col min="15115" max="15115" width="14" style="218" bestFit="1" customWidth="1"/>
    <col min="15116" max="15116" width="14.1640625" style="218" bestFit="1" customWidth="1"/>
    <col min="15117" max="15117" width="17.5" style="218" bestFit="1" customWidth="1"/>
    <col min="15118" max="15118" width="15.83203125" style="218" bestFit="1" customWidth="1"/>
    <col min="15119" max="15119" width="17.5" style="218" bestFit="1" customWidth="1"/>
    <col min="15120" max="15120" width="9.33203125" style="218" customWidth="1"/>
    <col min="15121" max="15121" width="16.6640625" style="218" customWidth="1"/>
    <col min="15122" max="15360" width="9.33203125" style="218" customWidth="1"/>
    <col min="15361" max="15361" width="14.83203125" style="218" customWidth="1"/>
    <col min="15362" max="15362" width="9.33203125" style="218" customWidth="1"/>
    <col min="15363" max="15363" width="20" style="218" customWidth="1"/>
    <col min="15364" max="15364" width="5.6640625" style="218" customWidth="1"/>
    <col min="15365" max="15365" width="18" style="218" bestFit="1" customWidth="1"/>
    <col min="15366" max="15366" width="19.1640625" style="218" bestFit="1" customWidth="1"/>
    <col min="15367" max="15367" width="2" style="218" customWidth="1"/>
    <col min="15368" max="15368" width="15.5" style="218" bestFit="1" customWidth="1"/>
    <col min="15369" max="15370" width="15.83203125" style="218" bestFit="1" customWidth="1"/>
    <col min="15371" max="15371" width="14" style="218" bestFit="1" customWidth="1"/>
    <col min="15372" max="15372" width="14.1640625" style="218" bestFit="1" customWidth="1"/>
    <col min="15373" max="15373" width="17.5" style="218" bestFit="1" customWidth="1"/>
    <col min="15374" max="15374" width="15.83203125" style="218" bestFit="1" customWidth="1"/>
    <col min="15375" max="15375" width="17.5" style="218" bestFit="1" customWidth="1"/>
    <col min="15376" max="15376" width="9.33203125" style="218" customWidth="1"/>
    <col min="15377" max="15377" width="16.6640625" style="218" customWidth="1"/>
    <col min="15378" max="15616" width="9.33203125" style="218" customWidth="1"/>
    <col min="15617" max="15617" width="14.83203125" style="218" customWidth="1"/>
    <col min="15618" max="15618" width="9.33203125" style="218" customWidth="1"/>
    <col min="15619" max="15619" width="20" style="218" customWidth="1"/>
    <col min="15620" max="15620" width="5.6640625" style="218" customWidth="1"/>
    <col min="15621" max="15621" width="18" style="218" bestFit="1" customWidth="1"/>
    <col min="15622" max="15622" width="19.1640625" style="218" bestFit="1" customWidth="1"/>
    <col min="15623" max="15623" width="2" style="218" customWidth="1"/>
    <col min="15624" max="15624" width="15.5" style="218" bestFit="1" customWidth="1"/>
    <col min="15625" max="15626" width="15.83203125" style="218" bestFit="1" customWidth="1"/>
    <col min="15627" max="15627" width="14" style="218" bestFit="1" customWidth="1"/>
    <col min="15628" max="15628" width="14.1640625" style="218" bestFit="1" customWidth="1"/>
    <col min="15629" max="15629" width="17.5" style="218" bestFit="1" customWidth="1"/>
    <col min="15630" max="15630" width="15.83203125" style="218" bestFit="1" customWidth="1"/>
    <col min="15631" max="15631" width="17.5" style="218" bestFit="1" customWidth="1"/>
    <col min="15632" max="15632" width="9.33203125" style="218" customWidth="1"/>
    <col min="15633" max="15633" width="16.6640625" style="218" customWidth="1"/>
    <col min="15634" max="15872" width="9.33203125" style="218" customWidth="1"/>
    <col min="15873" max="15873" width="14.83203125" style="218" customWidth="1"/>
    <col min="15874" max="15874" width="9.33203125" style="218" customWidth="1"/>
    <col min="15875" max="15875" width="20" style="218" customWidth="1"/>
    <col min="15876" max="15876" width="5.6640625" style="218" customWidth="1"/>
    <col min="15877" max="15877" width="18" style="218" bestFit="1" customWidth="1"/>
    <col min="15878" max="15878" width="19.1640625" style="218" bestFit="1" customWidth="1"/>
    <col min="15879" max="15879" width="2" style="218" customWidth="1"/>
    <col min="15880" max="15880" width="15.5" style="218" bestFit="1" customWidth="1"/>
    <col min="15881" max="15882" width="15.83203125" style="218" bestFit="1" customWidth="1"/>
    <col min="15883" max="15883" width="14" style="218" bestFit="1" customWidth="1"/>
    <col min="15884" max="15884" width="14.1640625" style="218" bestFit="1" customWidth="1"/>
    <col min="15885" max="15885" width="17.5" style="218" bestFit="1" customWidth="1"/>
    <col min="15886" max="15886" width="15.83203125" style="218" bestFit="1" customWidth="1"/>
    <col min="15887" max="15887" width="17.5" style="218" bestFit="1" customWidth="1"/>
    <col min="15888" max="15888" width="9.33203125" style="218" customWidth="1"/>
    <col min="15889" max="15889" width="16.6640625" style="218" customWidth="1"/>
    <col min="15890" max="16128" width="9.33203125" style="218" customWidth="1"/>
    <col min="16129" max="16129" width="14.83203125" style="218" customWidth="1"/>
    <col min="16130" max="16130" width="9.33203125" style="218" customWidth="1"/>
    <col min="16131" max="16131" width="20" style="218" customWidth="1"/>
    <col min="16132" max="16132" width="5.6640625" style="218" customWidth="1"/>
    <col min="16133" max="16133" width="18" style="218" bestFit="1" customWidth="1"/>
    <col min="16134" max="16134" width="19.1640625" style="218" bestFit="1" customWidth="1"/>
    <col min="16135" max="16135" width="2" style="218" customWidth="1"/>
    <col min="16136" max="16136" width="15.5" style="218" bestFit="1" customWidth="1"/>
    <col min="16137" max="16138" width="15.83203125" style="218" bestFit="1" customWidth="1"/>
    <col min="16139" max="16139" width="14" style="218" bestFit="1" customWidth="1"/>
    <col min="16140" max="16140" width="14.1640625" style="218" bestFit="1" customWidth="1"/>
    <col min="16141" max="16141" width="17.5" style="218" bestFit="1" customWidth="1"/>
    <col min="16142" max="16142" width="15.83203125" style="218" bestFit="1" customWidth="1"/>
    <col min="16143" max="16143" width="17.5" style="218" bestFit="1" customWidth="1"/>
    <col min="16144" max="16144" width="9.33203125" style="218" customWidth="1"/>
    <col min="16145" max="16145" width="16.6640625" style="218" customWidth="1"/>
    <col min="16146" max="16384" width="9.33203125" style="218" customWidth="1"/>
  </cols>
  <sheetData>
    <row r="1" spans="1:15" s="219" customFormat="1">
      <c r="A1" s="218" t="s">
        <v>925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</row>
    <row r="2" spans="1:15" s="219" customFormat="1">
      <c r="A2" s="218" t="s">
        <v>926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</row>
    <row r="4" spans="1:15" s="219" customFormat="1">
      <c r="A4" s="218" t="s">
        <v>927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</row>
    <row r="5" spans="1:15" s="219" customFormat="1" ht="12.75">
      <c r="A5" s="220" t="s">
        <v>928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</row>
    <row r="6" spans="1:15" s="219" customFormat="1" ht="12.75">
      <c r="A6" s="221" t="s">
        <v>929</v>
      </c>
      <c r="B6" s="221" t="s">
        <v>930</v>
      </c>
      <c r="C6" s="221" t="s">
        <v>931</v>
      </c>
      <c r="D6" s="221" t="s">
        <v>46</v>
      </c>
      <c r="E6" s="221" t="s">
        <v>932</v>
      </c>
      <c r="F6" s="221" t="s">
        <v>933</v>
      </c>
      <c r="G6" s="222" t="s">
        <v>934</v>
      </c>
      <c r="H6" s="223" t="s">
        <v>935</v>
      </c>
      <c r="I6" s="223"/>
      <c r="J6" s="223" t="s">
        <v>936</v>
      </c>
      <c r="K6" s="223"/>
      <c r="L6" s="223" t="s">
        <v>937</v>
      </c>
      <c r="M6" s="223"/>
      <c r="N6" s="223" t="s">
        <v>938</v>
      </c>
      <c r="O6" s="223"/>
    </row>
    <row r="7" spans="1:15" s="219" customFormat="1">
      <c r="A7" s="224"/>
      <c r="B7" s="224"/>
      <c r="C7" s="224"/>
      <c r="D7" s="224"/>
      <c r="E7" s="225"/>
      <c r="F7" s="225"/>
      <c r="G7" s="225"/>
      <c r="H7" s="226" t="s">
        <v>939</v>
      </c>
      <c r="I7" s="226" t="s">
        <v>440</v>
      </c>
      <c r="J7" s="226" t="s">
        <v>939</v>
      </c>
      <c r="K7" s="226" t="s">
        <v>440</v>
      </c>
      <c r="L7" s="226" t="s">
        <v>939</v>
      </c>
      <c r="M7" s="226" t="s">
        <v>440</v>
      </c>
      <c r="N7" s="226" t="s">
        <v>939</v>
      </c>
      <c r="O7" s="226" t="s">
        <v>440</v>
      </c>
    </row>
    <row r="8" spans="1:15" s="219" customFormat="1">
      <c r="A8" s="224">
        <v>7010</v>
      </c>
      <c r="B8" s="224" t="s">
        <v>940</v>
      </c>
      <c r="C8" s="224" t="s">
        <v>941</v>
      </c>
      <c r="D8" s="227"/>
      <c r="E8" s="224" t="s">
        <v>942</v>
      </c>
      <c r="F8" s="224" t="s">
        <v>943</v>
      </c>
      <c r="G8" s="224"/>
      <c r="H8" s="224" t="s">
        <v>944</v>
      </c>
      <c r="I8" s="224"/>
      <c r="J8" s="224"/>
      <c r="K8" s="224"/>
      <c r="L8" s="224"/>
      <c r="M8" s="224"/>
      <c r="N8" s="224"/>
      <c r="O8" s="224"/>
    </row>
    <row r="9" spans="1:15" s="219" customFormat="1">
      <c r="A9" s="224">
        <v>7010</v>
      </c>
      <c r="B9" s="224" t="s">
        <v>940</v>
      </c>
      <c r="C9" s="224" t="s">
        <v>945</v>
      </c>
      <c r="D9" s="227"/>
      <c r="E9" s="224"/>
      <c r="F9" s="224"/>
      <c r="G9" s="224"/>
      <c r="H9" s="224" t="s">
        <v>946</v>
      </c>
      <c r="I9" s="224" t="s">
        <v>947</v>
      </c>
      <c r="J9" s="224" t="s">
        <v>948</v>
      </c>
      <c r="K9" s="224" t="s">
        <v>949</v>
      </c>
      <c r="L9" s="224" t="s">
        <v>950</v>
      </c>
      <c r="M9" s="224" t="s">
        <v>949</v>
      </c>
      <c r="N9" s="224" t="s">
        <v>950</v>
      </c>
      <c r="O9" s="224" t="s">
        <v>949</v>
      </c>
    </row>
    <row r="10" spans="1:15" s="219" customFormat="1">
      <c r="A10" s="224">
        <v>7010</v>
      </c>
      <c r="B10" s="224" t="s">
        <v>940</v>
      </c>
      <c r="C10" s="224" t="s">
        <v>951</v>
      </c>
      <c r="D10" s="227"/>
      <c r="E10" s="224"/>
      <c r="F10" s="224"/>
      <c r="G10" s="224"/>
      <c r="H10" s="224" t="s">
        <v>946</v>
      </c>
      <c r="I10" s="224" t="s">
        <v>947</v>
      </c>
      <c r="J10" s="224" t="s">
        <v>952</v>
      </c>
      <c r="K10" s="224" t="s">
        <v>949</v>
      </c>
      <c r="L10" s="224" t="s">
        <v>952</v>
      </c>
      <c r="M10" s="224" t="s">
        <v>953</v>
      </c>
      <c r="N10" s="224" t="s">
        <v>952</v>
      </c>
      <c r="O10" s="224" t="s">
        <v>953</v>
      </c>
    </row>
    <row r="11" spans="1:15" s="219" customFormat="1">
      <c r="A11" s="224">
        <v>7010</v>
      </c>
      <c r="B11" s="224" t="s">
        <v>940</v>
      </c>
      <c r="C11" s="224" t="s">
        <v>954</v>
      </c>
      <c r="D11" s="227"/>
      <c r="E11" s="224"/>
      <c r="F11" s="224"/>
      <c r="G11" s="224"/>
      <c r="H11" s="224" t="s">
        <v>946</v>
      </c>
      <c r="I11" s="224" t="s">
        <v>947</v>
      </c>
      <c r="J11" s="224" t="s">
        <v>950</v>
      </c>
      <c r="K11" s="224" t="s">
        <v>949</v>
      </c>
      <c r="L11" s="224" t="s">
        <v>950</v>
      </c>
      <c r="M11" s="224" t="s">
        <v>949</v>
      </c>
      <c r="N11" s="224" t="s">
        <v>948</v>
      </c>
      <c r="O11" s="224" t="s">
        <v>949</v>
      </c>
    </row>
    <row r="12" spans="1:15" s="219" customFormat="1" ht="12.75" hidden="1">
      <c r="A12" s="221" t="s">
        <v>929</v>
      </c>
      <c r="B12" s="221" t="s">
        <v>955</v>
      </c>
      <c r="C12" s="221" t="s">
        <v>931</v>
      </c>
      <c r="D12" s="221" t="s">
        <v>956</v>
      </c>
      <c r="E12" s="228" t="s">
        <v>932</v>
      </c>
      <c r="F12" s="228" t="s">
        <v>933</v>
      </c>
      <c r="G12" s="228" t="s">
        <v>934</v>
      </c>
      <c r="H12" s="223" t="s">
        <v>935</v>
      </c>
      <c r="I12" s="223"/>
      <c r="J12" s="223" t="s">
        <v>936</v>
      </c>
      <c r="K12" s="223"/>
      <c r="L12" s="223" t="s">
        <v>937</v>
      </c>
      <c r="M12" s="223"/>
      <c r="N12" s="223" t="s">
        <v>938</v>
      </c>
      <c r="O12" s="223"/>
    </row>
    <row r="13" spans="1:15" s="219" customFormat="1" hidden="1">
      <c r="A13" s="224"/>
      <c r="B13" s="224"/>
      <c r="C13" s="224"/>
      <c r="D13" s="224"/>
      <c r="E13" s="224"/>
      <c r="F13" s="224"/>
      <c r="G13" s="224"/>
      <c r="H13" s="221" t="s">
        <v>939</v>
      </c>
      <c r="I13" s="221" t="s">
        <v>440</v>
      </c>
      <c r="J13" s="221" t="s">
        <v>939</v>
      </c>
      <c r="K13" s="221" t="s">
        <v>440</v>
      </c>
      <c r="L13" s="221" t="s">
        <v>939</v>
      </c>
      <c r="M13" s="221" t="s">
        <v>440</v>
      </c>
      <c r="N13" s="221" t="s">
        <v>939</v>
      </c>
      <c r="O13" s="221" t="s">
        <v>440</v>
      </c>
    </row>
    <row r="14" spans="1:15" s="219" customFormat="1" ht="11.25" hidden="1">
      <c r="A14" s="229">
        <v>7010</v>
      </c>
      <c r="B14" s="229" t="s">
        <v>940</v>
      </c>
      <c r="C14" s="229" t="s">
        <v>945</v>
      </c>
      <c r="D14" s="229">
        <v>90</v>
      </c>
      <c r="E14" s="229">
        <v>518</v>
      </c>
      <c r="F14" s="229">
        <v>533</v>
      </c>
      <c r="G14" s="229">
        <v>1051</v>
      </c>
      <c r="H14" s="229">
        <v>243</v>
      </c>
      <c r="I14" s="229">
        <v>144</v>
      </c>
      <c r="J14" s="229">
        <v>94</v>
      </c>
      <c r="K14" s="229">
        <v>190</v>
      </c>
      <c r="L14" s="229">
        <v>20</v>
      </c>
      <c r="M14" s="229">
        <v>128</v>
      </c>
      <c r="N14" s="229">
        <v>161</v>
      </c>
      <c r="O14" s="229">
        <v>71</v>
      </c>
    </row>
    <row r="15" spans="1:15" s="219" customFormat="1" ht="11.25" hidden="1">
      <c r="A15" s="229">
        <v>7010</v>
      </c>
      <c r="B15" s="229" t="s">
        <v>940</v>
      </c>
      <c r="C15" s="229" t="s">
        <v>957</v>
      </c>
      <c r="D15" s="229">
        <v>2</v>
      </c>
      <c r="E15" s="229">
        <v>12</v>
      </c>
      <c r="F15" s="229">
        <v>9</v>
      </c>
      <c r="G15" s="229">
        <v>21</v>
      </c>
      <c r="H15" s="229">
        <v>0</v>
      </c>
      <c r="I15" s="229">
        <v>5</v>
      </c>
      <c r="J15" s="229">
        <v>0</v>
      </c>
      <c r="K15" s="229">
        <v>4</v>
      </c>
      <c r="L15" s="229">
        <v>0</v>
      </c>
      <c r="M15" s="229">
        <v>0</v>
      </c>
      <c r="N15" s="229">
        <v>12</v>
      </c>
      <c r="O15" s="229">
        <v>0</v>
      </c>
    </row>
    <row r="16" spans="1:15" s="219" customFormat="1" ht="11.25" hidden="1">
      <c r="A16" s="229">
        <v>7050</v>
      </c>
      <c r="B16" s="229" t="s">
        <v>958</v>
      </c>
      <c r="C16" s="229" t="s">
        <v>959</v>
      </c>
      <c r="D16" s="229">
        <v>2</v>
      </c>
      <c r="E16" s="229">
        <v>6</v>
      </c>
      <c r="F16" s="229">
        <v>3</v>
      </c>
      <c r="G16" s="229">
        <v>9</v>
      </c>
      <c r="H16" s="229"/>
      <c r="I16" s="229"/>
      <c r="J16" s="229"/>
      <c r="K16" s="229"/>
      <c r="L16" s="229"/>
      <c r="M16" s="229"/>
      <c r="N16" s="229"/>
      <c r="O16" s="229"/>
    </row>
    <row r="17" spans="1:15" s="219" customFormat="1" ht="12.75" hidden="1" customHeight="1">
      <c r="A17" s="229">
        <v>7070</v>
      </c>
      <c r="B17" s="229" t="s">
        <v>960</v>
      </c>
      <c r="C17" s="229" t="s">
        <v>959</v>
      </c>
      <c r="D17" s="229">
        <v>1</v>
      </c>
      <c r="E17" s="229">
        <v>1</v>
      </c>
      <c r="F17" s="229">
        <v>3</v>
      </c>
      <c r="G17" s="229">
        <v>4</v>
      </c>
      <c r="H17" s="229"/>
      <c r="I17" s="229"/>
      <c r="J17" s="229"/>
      <c r="K17" s="229"/>
      <c r="L17" s="229"/>
      <c r="M17" s="229"/>
      <c r="N17" s="229"/>
      <c r="O17" s="229"/>
    </row>
    <row r="18" spans="1:15" s="219" customFormat="1" ht="12.75" hidden="1" customHeight="1">
      <c r="A18" s="229">
        <v>7090</v>
      </c>
      <c r="B18" s="229" t="s">
        <v>961</v>
      </c>
      <c r="C18" s="229" t="s">
        <v>957</v>
      </c>
      <c r="D18" s="229">
        <v>1</v>
      </c>
      <c r="E18" s="229">
        <v>1</v>
      </c>
      <c r="F18" s="229">
        <v>2</v>
      </c>
      <c r="G18" s="229">
        <v>3</v>
      </c>
      <c r="H18" s="229"/>
      <c r="I18" s="229"/>
      <c r="J18" s="229"/>
      <c r="K18" s="229"/>
      <c r="L18" s="229"/>
      <c r="M18" s="229"/>
      <c r="N18" s="229"/>
      <c r="O18" s="229"/>
    </row>
    <row r="19" spans="1:15" s="219" customFormat="1" ht="12.75" hidden="1" customHeight="1">
      <c r="A19" s="229">
        <v>7100</v>
      </c>
      <c r="B19" s="229" t="s">
        <v>962</v>
      </c>
      <c r="C19" s="229" t="s">
        <v>945</v>
      </c>
      <c r="D19" s="229">
        <v>1</v>
      </c>
      <c r="E19" s="229">
        <v>5000</v>
      </c>
      <c r="F19" s="229">
        <v>5000</v>
      </c>
      <c r="G19" s="229">
        <v>10000</v>
      </c>
      <c r="H19" s="229"/>
      <c r="I19" s="229"/>
      <c r="J19" s="229"/>
      <c r="K19" s="229"/>
      <c r="L19" s="229"/>
      <c r="M19" s="229"/>
      <c r="N19" s="229"/>
      <c r="O19" s="229"/>
    </row>
    <row r="20" spans="1:15" s="219" customFormat="1" ht="12.75" hidden="1" customHeight="1">
      <c r="A20" s="229">
        <v>7500</v>
      </c>
      <c r="B20" s="229" t="s">
        <v>963</v>
      </c>
      <c r="C20" s="229" t="s">
        <v>945</v>
      </c>
      <c r="D20" s="229">
        <v>2</v>
      </c>
      <c r="E20" s="229"/>
      <c r="F20" s="229"/>
      <c r="G20" s="229">
        <v>45000</v>
      </c>
      <c r="H20" s="229"/>
      <c r="I20" s="229"/>
      <c r="J20" s="229"/>
      <c r="K20" s="229"/>
      <c r="L20" s="229"/>
      <c r="M20" s="229"/>
      <c r="N20" s="229"/>
      <c r="O20" s="229"/>
    </row>
    <row r="22" spans="1:15" s="219" customFormat="1" ht="12.75">
      <c r="A22" s="220" t="s">
        <v>964</v>
      </c>
      <c r="B22" s="220"/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</row>
    <row r="23" spans="1:15" s="219" customFormat="1" ht="12.75">
      <c r="A23" s="221" t="s">
        <v>929</v>
      </c>
      <c r="B23" s="221" t="s">
        <v>955</v>
      </c>
      <c r="C23" s="221" t="s">
        <v>931</v>
      </c>
      <c r="D23" s="221" t="s">
        <v>46</v>
      </c>
      <c r="E23" s="226" t="s">
        <v>932</v>
      </c>
      <c r="F23" s="226" t="s">
        <v>933</v>
      </c>
      <c r="G23" s="222" t="s">
        <v>934</v>
      </c>
      <c r="H23" s="223" t="s">
        <v>935</v>
      </c>
      <c r="I23" s="223"/>
      <c r="J23" s="223" t="s">
        <v>936</v>
      </c>
      <c r="K23" s="223"/>
      <c r="L23" s="223" t="s">
        <v>937</v>
      </c>
      <c r="M23" s="223"/>
      <c r="N23" s="223" t="s">
        <v>938</v>
      </c>
      <c r="O23" s="223"/>
    </row>
    <row r="24" spans="1:15" s="219" customFormat="1">
      <c r="A24" s="224"/>
      <c r="B24" s="224"/>
      <c r="C24" s="224"/>
      <c r="D24" s="230"/>
      <c r="E24" s="224"/>
      <c r="F24" s="224"/>
      <c r="G24" s="231"/>
      <c r="H24" s="221" t="s">
        <v>939</v>
      </c>
      <c r="I24" s="221" t="s">
        <v>440</v>
      </c>
      <c r="J24" s="221" t="s">
        <v>939</v>
      </c>
      <c r="K24" s="221" t="s">
        <v>440</v>
      </c>
      <c r="L24" s="221" t="s">
        <v>939</v>
      </c>
      <c r="M24" s="221" t="s">
        <v>440</v>
      </c>
      <c r="N24" s="221" t="s">
        <v>939</v>
      </c>
      <c r="O24" s="221" t="s">
        <v>440</v>
      </c>
    </row>
    <row r="25" spans="1:15" s="219" customFormat="1">
      <c r="A25" s="224">
        <v>7010</v>
      </c>
      <c r="B25" s="224" t="s">
        <v>940</v>
      </c>
      <c r="C25" s="224" t="s">
        <v>941</v>
      </c>
      <c r="D25" s="227"/>
      <c r="E25" s="224" t="s">
        <v>965</v>
      </c>
      <c r="F25" s="224" t="s">
        <v>943</v>
      </c>
      <c r="G25" s="232"/>
      <c r="H25" s="229"/>
      <c r="I25" s="233"/>
      <c r="J25" s="233"/>
      <c r="K25" s="233"/>
      <c r="L25" s="233"/>
      <c r="M25" s="233"/>
      <c r="N25" s="233"/>
      <c r="O25" s="233"/>
    </row>
    <row r="28" spans="1:15" s="219" customFormat="1">
      <c r="A28" s="218" t="s">
        <v>966</v>
      </c>
      <c r="B28" s="218"/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18"/>
    </row>
    <row r="30" spans="1:15" s="219" customFormat="1">
      <c r="A30" s="218" t="s">
        <v>967</v>
      </c>
      <c r="B30" s="218"/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</row>
  </sheetData>
  <mergeCells count="14">
    <mergeCell ref="A22:O22"/>
    <mergeCell ref="H23:I23"/>
    <mergeCell ref="J23:K23"/>
    <mergeCell ref="L23:M23"/>
    <mergeCell ref="N23:O23"/>
    <mergeCell ref="A5:O5"/>
    <mergeCell ref="H6:I6"/>
    <mergeCell ref="J6:K6"/>
    <mergeCell ref="L6:M6"/>
    <mergeCell ref="N6:O6"/>
    <mergeCell ref="H12:I12"/>
    <mergeCell ref="J12:K12"/>
    <mergeCell ref="L12:M12"/>
    <mergeCell ref="N12:O12"/>
  </mergeCells>
  <pageMargins left="0.51180555555555607" right="0.51180555555555607" top="0.78750000000000009" bottom="0.78750000000000009" header="0.51180555555555607" footer="0.51180555555555607"/>
  <pageSetup paperSize="0" scale="70" fitToWidth="0" fitToHeight="0" orientation="landscape" horizontalDpi="0" verticalDpi="0" copies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showGridLines="0" zoomScale="110" zoomScaleNormal="110" workbookViewId="0">
      <selection activeCell="J3" sqref="J3"/>
    </sheetView>
  </sheetViews>
  <sheetFormatPr defaultColWidth="9.1640625" defaultRowHeight="11.25"/>
  <sheetData>
    <row r="1" spans="1:17" ht="16.5" customHeight="1">
      <c r="A1" s="192" t="s">
        <v>909</v>
      </c>
    </row>
    <row r="2" spans="1:17" ht="16.5" customHeight="1">
      <c r="A2" s="193" t="s">
        <v>910</v>
      </c>
    </row>
    <row r="3" spans="1:17" ht="16.5" customHeight="1">
      <c r="A3" s="193" t="s">
        <v>911</v>
      </c>
    </row>
    <row r="4" spans="1:17" ht="16.5" customHeight="1">
      <c r="A4" s="193" t="s">
        <v>912</v>
      </c>
    </row>
    <row r="5" spans="1:17" ht="16.5" customHeight="1">
      <c r="A5" s="193" t="s">
        <v>913</v>
      </c>
    </row>
    <row r="6" spans="1:17" ht="16.5" customHeight="1">
      <c r="A6" s="193" t="s">
        <v>914</v>
      </c>
    </row>
    <row r="7" spans="1:17" ht="16.5" customHeight="1">
      <c r="A7" s="193" t="s">
        <v>915</v>
      </c>
    </row>
    <row r="8" spans="1:17" ht="16.5" customHeight="1">
      <c r="A8" s="193" t="s">
        <v>916</v>
      </c>
      <c r="Q8" s="1"/>
    </row>
    <row r="9" spans="1:17" ht="16.5" customHeight="1">
      <c r="A9" s="193" t="s">
        <v>917</v>
      </c>
    </row>
    <row r="10" spans="1:17" ht="16.5" customHeight="1">
      <c r="A10" s="193"/>
    </row>
    <row r="11" spans="1:17" ht="16.5" customHeight="1">
      <c r="A11" s="192" t="s">
        <v>918</v>
      </c>
    </row>
    <row r="12" spans="1:17" ht="16.5" customHeight="1">
      <c r="A12" s="193" t="s">
        <v>919</v>
      </c>
    </row>
    <row r="13" spans="1:17" ht="16.5" customHeight="1">
      <c r="A13" s="1" t="s">
        <v>920</v>
      </c>
    </row>
    <row r="14" spans="1:17" ht="16.5" customHeight="1">
      <c r="A14" s="1" t="s">
        <v>921</v>
      </c>
      <c r="K14" s="194"/>
    </row>
    <row r="15" spans="1:17" ht="16.5" customHeight="1">
      <c r="A15" s="193" t="s">
        <v>922</v>
      </c>
    </row>
  </sheetData>
  <pageMargins left="0.74791666666666701" right="0.74791666666666701" top="1.2791666666666699" bottom="1.2791666666666699" header="0.51180555555555496" footer="0.51180555555555496"/>
  <pageSetup paperSize="9" firstPageNumber="0" pageOrder="overThenDown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1</vt:i4>
      </vt:variant>
    </vt:vector>
  </HeadingPairs>
  <TitlesOfParts>
    <vt:vector size="7" baseType="lpstr">
      <vt:lpstr>Bovinos</vt:lpstr>
      <vt:lpstr>TODOS OS PRODUTOS</vt:lpstr>
      <vt:lpstr>Leite - Produção</vt:lpstr>
      <vt:lpstr>Leite - Captação</vt:lpstr>
      <vt:lpstr>GTA</vt:lpstr>
      <vt:lpstr>OBSERVAÇÃO</vt:lpstr>
      <vt:lpstr>Bovinos!Area_de_impressao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Larissa Nahirny Alves</dc:creator>
  <dc:description/>
  <cp:lastModifiedBy>Larissa Nahirny Alves</cp:lastModifiedBy>
  <cp:revision>2</cp:revision>
  <dcterms:created xsi:type="dcterms:W3CDTF">2021-07-09T17:15:57Z</dcterms:created>
  <dcterms:modified xsi:type="dcterms:W3CDTF">2022-02-11T19:13:48Z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