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SETORES\deral\DEB\Custos\Custos_Arq_Site\2025\Novembro\"/>
    </mc:Choice>
  </mc:AlternateContent>
  <bookViews>
    <workbookView xWindow="0" yWindow="0" windowWidth="28800" windowHeight="12330" tabRatio="500"/>
  </bookViews>
  <sheets>
    <sheet name="resumo" sheetId="1" r:id="rId1"/>
    <sheet name="consumo diesel" sheetId="6" r:id="rId2"/>
    <sheet name="so_a_base" sheetId="2" state="hidden" r:id="rId3"/>
    <sheet name="mes_ano" sheetId="3" state="hidden" r:id="rId4"/>
    <sheet name="produto" sheetId="4" state="hidden" r:id="rId5"/>
    <sheet name="grafico2" sheetId="5" state="hidden" r:id="rId6"/>
  </sheets>
  <externalReferences>
    <externalReference r:id="rId7"/>
  </externalReferences>
  <definedNames>
    <definedName name="_xlnm.Print_Area" localSheetId="0">resumo!$A$1:$F$61</definedName>
    <definedName name="Excel_BuiltIn_Print_Area" localSheetId="0">resumo!$A$1:$F$61</definedName>
  </definedNames>
  <calcPr calcId="162913"/>
</workbook>
</file>

<file path=xl/calcChain.xml><?xml version="1.0" encoding="utf-8"?>
<calcChain xmlns="http://schemas.openxmlformats.org/spreadsheetml/2006/main">
  <c r="L176" i="2" l="1"/>
  <c r="L175" i="2"/>
  <c r="L174" i="2"/>
  <c r="G174" i="2" s="1"/>
  <c r="L173" i="2"/>
  <c r="G173" i="2" s="1"/>
  <c r="L171" i="2"/>
  <c r="L170" i="2"/>
  <c r="L169" i="2"/>
  <c r="G169" i="2" s="1"/>
  <c r="L168" i="2"/>
  <c r="G168" i="2" s="1"/>
  <c r="L167" i="2"/>
  <c r="L166" i="2"/>
  <c r="G166" i="2" s="1"/>
  <c r="L165" i="2"/>
  <c r="L164" i="2"/>
  <c r="G164" i="2"/>
  <c r="L163" i="2"/>
  <c r="L162" i="2"/>
  <c r="L161" i="2"/>
  <c r="L160" i="2"/>
  <c r="G160" i="2"/>
  <c r="L159" i="2"/>
  <c r="L158" i="2"/>
  <c r="L157" i="2"/>
  <c r="L156" i="2"/>
  <c r="G156" i="2" s="1"/>
  <c r="C33" i="1" s="1"/>
  <c r="L155" i="2"/>
  <c r="G155" i="2" s="1"/>
  <c r="C31" i="1" s="1"/>
  <c r="L154" i="2"/>
  <c r="L152" i="2"/>
  <c r="L151" i="2"/>
  <c r="L150" i="2"/>
  <c r="G150" i="2" s="1"/>
  <c r="C26" i="1" s="1"/>
  <c r="L149" i="2"/>
  <c r="L148" i="2"/>
  <c r="L147" i="2"/>
  <c r="L146" i="2"/>
  <c r="G146" i="2" s="1"/>
  <c r="C21" i="1" s="1"/>
  <c r="L145" i="2"/>
  <c r="L144" i="2"/>
  <c r="L143" i="2"/>
  <c r="G143" i="2"/>
  <c r="C18" i="1" s="1"/>
  <c r="L142" i="2"/>
  <c r="L141" i="2"/>
  <c r="L140" i="2"/>
  <c r="L139" i="2"/>
  <c r="G139" i="2"/>
  <c r="C14" i="1"/>
  <c r="A12" i="5" s="1"/>
  <c r="L138" i="2"/>
  <c r="L137" i="2"/>
  <c r="G137" i="2" s="1"/>
  <c r="L136" i="2"/>
  <c r="G136" i="2" s="1"/>
  <c r="L135" i="2"/>
  <c r="G135" i="2"/>
  <c r="L133" i="2"/>
  <c r="G133" i="2" s="1"/>
  <c r="L132" i="2"/>
  <c r="G132" i="2" s="1"/>
  <c r="L131" i="2"/>
  <c r="L130" i="2"/>
  <c r="G130" i="2"/>
  <c r="L129" i="2"/>
  <c r="L128" i="2"/>
  <c r="L127" i="2"/>
  <c r="L126" i="2"/>
  <c r="G126" i="2" s="1"/>
  <c r="L125" i="2"/>
  <c r="G125" i="2" s="1"/>
  <c r="L124" i="2"/>
  <c r="L123" i="2"/>
  <c r="L122" i="2"/>
  <c r="G122" i="2"/>
  <c r="L121" i="2"/>
  <c r="L120" i="2"/>
  <c r="L119" i="2"/>
  <c r="L118" i="2"/>
  <c r="G118" i="2" s="1"/>
  <c r="L117" i="2"/>
  <c r="L116" i="2"/>
  <c r="G116" i="2" s="1"/>
  <c r="L114" i="2"/>
  <c r="G114" i="2" s="1"/>
  <c r="L113" i="2"/>
  <c r="G113" i="2"/>
  <c r="L112" i="2"/>
  <c r="L111" i="2"/>
  <c r="L110" i="2"/>
  <c r="L109" i="2"/>
  <c r="L108" i="2"/>
  <c r="L107" i="2"/>
  <c r="G107" i="2" s="1"/>
  <c r="L106" i="2"/>
  <c r="L105" i="2"/>
  <c r="G105" i="2"/>
  <c r="L104" i="2"/>
  <c r="G104" i="2" s="1"/>
  <c r="L103" i="2"/>
  <c r="L102" i="2"/>
  <c r="L101" i="2"/>
  <c r="L100" i="2"/>
  <c r="G100" i="2" s="1"/>
  <c r="L99" i="2"/>
  <c r="L98" i="2"/>
  <c r="L97" i="2"/>
  <c r="G97" i="2"/>
  <c r="L95" i="2"/>
  <c r="L94" i="2"/>
  <c r="L93" i="2"/>
  <c r="L92" i="2"/>
  <c r="G92" i="2" s="1"/>
  <c r="L90" i="2"/>
  <c r="L89" i="2"/>
  <c r="L88" i="2"/>
  <c r="G88" i="2" s="1"/>
  <c r="L87" i="2"/>
  <c r="G87" i="2"/>
  <c r="L86" i="2"/>
  <c r="G86" i="2" s="1"/>
  <c r="L85" i="2"/>
  <c r="G85" i="2" s="1"/>
  <c r="L84" i="2"/>
  <c r="L83" i="2"/>
  <c r="L82" i="2"/>
  <c r="L81" i="2"/>
  <c r="L80" i="2"/>
  <c r="L79" i="2"/>
  <c r="G79" i="2"/>
  <c r="L78" i="2"/>
  <c r="G78" i="2" s="1"/>
  <c r="L76" i="2"/>
  <c r="L75" i="2"/>
  <c r="L74" i="2"/>
  <c r="G74" i="2"/>
  <c r="L73" i="2"/>
  <c r="L71" i="2"/>
  <c r="L70" i="2"/>
  <c r="G70" i="2" s="1"/>
  <c r="L69" i="2"/>
  <c r="G69" i="2" s="1"/>
  <c r="L68" i="2"/>
  <c r="L67" i="2"/>
  <c r="G67" i="2" s="1"/>
  <c r="L66" i="2"/>
  <c r="G66" i="2" s="1"/>
  <c r="L65" i="2"/>
  <c r="G65" i="2"/>
  <c r="L64" i="2"/>
  <c r="G64" i="2" s="1"/>
  <c r="L63" i="2"/>
  <c r="L62" i="2"/>
  <c r="L61" i="2"/>
  <c r="L60" i="2"/>
  <c r="L59" i="2"/>
  <c r="G59" i="2" s="1"/>
  <c r="L57" i="2"/>
  <c r="L56" i="2"/>
  <c r="G56" i="2"/>
  <c r="L55" i="2"/>
  <c r="G55" i="2" s="1"/>
  <c r="L54" i="2"/>
  <c r="L53" i="2"/>
  <c r="L52" i="2"/>
  <c r="G52" i="2" s="1"/>
  <c r="L51" i="2"/>
  <c r="G51" i="2" s="1"/>
  <c r="L50" i="2"/>
  <c r="L49" i="2"/>
  <c r="L48" i="2"/>
  <c r="G48" i="2" s="1"/>
  <c r="L47" i="2"/>
  <c r="G47" i="2" s="1"/>
  <c r="L46" i="2"/>
  <c r="L45" i="2"/>
  <c r="L44" i="2"/>
  <c r="G44" i="2"/>
  <c r="L43" i="2"/>
  <c r="L42" i="2"/>
  <c r="L41" i="2"/>
  <c r="L40" i="2"/>
  <c r="G40" i="2" s="1"/>
  <c r="L38" i="2"/>
  <c r="L37" i="2"/>
  <c r="G37" i="2" s="1"/>
  <c r="L36" i="2"/>
  <c r="G36" i="2" s="1"/>
  <c r="L35" i="2"/>
  <c r="G35" i="2" s="1"/>
  <c r="L34" i="2"/>
  <c r="G34" i="2" s="1"/>
  <c r="L33" i="2"/>
  <c r="L32" i="2"/>
  <c r="L31" i="2"/>
  <c r="G31" i="2"/>
  <c r="L30" i="2"/>
  <c r="G30" i="2" s="1"/>
  <c r="L29" i="2"/>
  <c r="L28" i="2"/>
  <c r="L27" i="2"/>
  <c r="G27" i="2" s="1"/>
  <c r="L26" i="2"/>
  <c r="L25" i="2"/>
  <c r="L24" i="2"/>
  <c r="L23" i="2"/>
  <c r="G23" i="2"/>
  <c r="L22" i="2"/>
  <c r="L21" i="2"/>
  <c r="L20" i="2"/>
  <c r="L19" i="2"/>
  <c r="G19" i="2" s="1"/>
  <c r="L18" i="2"/>
  <c r="L17" i="2"/>
  <c r="L16" i="2"/>
  <c r="G16" i="2" s="1"/>
  <c r="L15" i="2"/>
  <c r="G15" i="2"/>
  <c r="L14" i="2"/>
  <c r="L13" i="2"/>
  <c r="G13" i="2" s="1"/>
  <c r="L12" i="2"/>
  <c r="L11" i="2"/>
  <c r="G11" i="2"/>
  <c r="L10" i="2"/>
  <c r="G10" i="2" s="1"/>
  <c r="L8" i="2"/>
  <c r="L7" i="2"/>
  <c r="L6" i="2"/>
  <c r="G147" i="2"/>
  <c r="C22" i="1" s="1"/>
  <c r="G101" i="2"/>
  <c r="G83" i="2"/>
  <c r="G6" i="2"/>
  <c r="B6" i="3"/>
  <c r="B5" i="3"/>
  <c r="B4" i="3"/>
  <c r="B3" i="3"/>
  <c r="B2" i="3"/>
  <c r="G18" i="2"/>
  <c r="G22" i="2"/>
  <c r="G26" i="2"/>
  <c r="G32" i="2"/>
  <c r="G38" i="2"/>
  <c r="G45" i="2"/>
  <c r="G60" i="2"/>
  <c r="G62" i="2"/>
  <c r="G68" i="2"/>
  <c r="G73" i="2"/>
  <c r="G80" i="2"/>
  <c r="G82" i="2"/>
  <c r="G90" i="2"/>
  <c r="G93" i="2"/>
  <c r="G95" i="2"/>
  <c r="G108" i="2"/>
  <c r="G112" i="2"/>
  <c r="G117" i="2"/>
  <c r="G123" i="2"/>
  <c r="G129" i="2"/>
  <c r="G138" i="2"/>
  <c r="G142" i="2"/>
  <c r="G152" i="2"/>
  <c r="C28" i="1"/>
  <c r="G159" i="2"/>
  <c r="G165" i="2"/>
  <c r="G167" i="2"/>
  <c r="G171" i="2"/>
  <c r="G176" i="2"/>
  <c r="G8" i="2"/>
  <c r="G151" i="2"/>
  <c r="C27" i="1"/>
  <c r="D27" i="1" s="1"/>
  <c r="C8" i="1"/>
  <c r="D11" i="1"/>
  <c r="E11" i="1"/>
  <c r="D13" i="1"/>
  <c r="A6" i="2"/>
  <c r="D6" i="2"/>
  <c r="A7" i="2"/>
  <c r="D7" i="2"/>
  <c r="G7" i="2"/>
  <c r="A8" i="2"/>
  <c r="D8" i="2"/>
  <c r="A9" i="2"/>
  <c r="D9" i="2"/>
  <c r="G9" i="2"/>
  <c r="A10" i="2"/>
  <c r="D10" i="2"/>
  <c r="A11" i="2"/>
  <c r="D11" i="2"/>
  <c r="A12" i="2"/>
  <c r="D12" i="2"/>
  <c r="G12" i="2"/>
  <c r="A13" i="2"/>
  <c r="D13" i="2"/>
  <c r="A14" i="2"/>
  <c r="D14" i="2"/>
  <c r="G14" i="2"/>
  <c r="A15" i="2"/>
  <c r="D15" i="2"/>
  <c r="A16" i="2"/>
  <c r="D16" i="2"/>
  <c r="A17" i="2"/>
  <c r="D17" i="2"/>
  <c r="G17" i="2"/>
  <c r="A18" i="2"/>
  <c r="D18" i="2"/>
  <c r="A19" i="2"/>
  <c r="D19" i="2"/>
  <c r="A20" i="2"/>
  <c r="D20" i="2"/>
  <c r="G20" i="2"/>
  <c r="A21" i="2"/>
  <c r="D21" i="2"/>
  <c r="G21" i="2"/>
  <c r="A22" i="2"/>
  <c r="D22" i="2"/>
  <c r="A23" i="2"/>
  <c r="D23" i="2"/>
  <c r="A24" i="2"/>
  <c r="D24" i="2"/>
  <c r="G24" i="2"/>
  <c r="A25" i="2"/>
  <c r="D25" i="2"/>
  <c r="G25" i="2"/>
  <c r="A26" i="2"/>
  <c r="D26" i="2"/>
  <c r="A27" i="2"/>
  <c r="D27" i="2"/>
  <c r="A28" i="2"/>
  <c r="D28" i="2"/>
  <c r="G28" i="2"/>
  <c r="A29" i="2"/>
  <c r="D29" i="2"/>
  <c r="G29" i="2"/>
  <c r="A30" i="2"/>
  <c r="D30" i="2"/>
  <c r="A31" i="2"/>
  <c r="D31" i="2"/>
  <c r="A32" i="2"/>
  <c r="D32" i="2"/>
  <c r="A33" i="2"/>
  <c r="D33" i="2"/>
  <c r="G33" i="2"/>
  <c r="A34" i="2"/>
  <c r="D34" i="2"/>
  <c r="A35" i="2"/>
  <c r="D35" i="2"/>
  <c r="A36" i="2"/>
  <c r="D36" i="2"/>
  <c r="A37" i="2"/>
  <c r="D37" i="2"/>
  <c r="A38" i="2"/>
  <c r="D38" i="2"/>
  <c r="A39" i="2"/>
  <c r="D39" i="2"/>
  <c r="G39" i="2"/>
  <c r="A40" i="2"/>
  <c r="D40" i="2"/>
  <c r="A41" i="2"/>
  <c r="D41" i="2"/>
  <c r="G41" i="2"/>
  <c r="A42" i="2"/>
  <c r="D42" i="2"/>
  <c r="G42" i="2"/>
  <c r="A43" i="2"/>
  <c r="D43" i="2"/>
  <c r="G43" i="2"/>
  <c r="A44" i="2"/>
  <c r="D44" i="2"/>
  <c r="A45" i="2"/>
  <c r="D45" i="2"/>
  <c r="A46" i="2"/>
  <c r="D46" i="2"/>
  <c r="G46" i="2"/>
  <c r="A47" i="2"/>
  <c r="D47" i="2"/>
  <c r="A48" i="2"/>
  <c r="D48" i="2"/>
  <c r="A49" i="2"/>
  <c r="D49" i="2"/>
  <c r="G49" i="2"/>
  <c r="A50" i="2"/>
  <c r="D50" i="2"/>
  <c r="G50" i="2"/>
  <c r="A51" i="2"/>
  <c r="D51" i="2"/>
  <c r="A52" i="2"/>
  <c r="D52" i="2"/>
  <c r="A53" i="2"/>
  <c r="D53" i="2"/>
  <c r="G53" i="2"/>
  <c r="A54" i="2"/>
  <c r="D54" i="2"/>
  <c r="G54" i="2"/>
  <c r="A55" i="2"/>
  <c r="D55" i="2"/>
  <c r="A56" i="2"/>
  <c r="D56" i="2"/>
  <c r="A57" i="2"/>
  <c r="D57" i="2"/>
  <c r="G57" i="2"/>
  <c r="A58" i="2"/>
  <c r="D58" i="2"/>
  <c r="G58" i="2"/>
  <c r="A59" i="2"/>
  <c r="D59" i="2"/>
  <c r="A60" i="2"/>
  <c r="D60" i="2"/>
  <c r="A61" i="2"/>
  <c r="D61" i="2"/>
  <c r="G61" i="2"/>
  <c r="A62" i="2"/>
  <c r="D62" i="2"/>
  <c r="A63" i="2"/>
  <c r="D63" i="2"/>
  <c r="G63" i="2"/>
  <c r="A64" i="2"/>
  <c r="D64" i="2"/>
  <c r="A65" i="2"/>
  <c r="D65" i="2"/>
  <c r="A66" i="2"/>
  <c r="D66" i="2"/>
  <c r="A67" i="2"/>
  <c r="D67" i="2"/>
  <c r="A68" i="2"/>
  <c r="D68" i="2"/>
  <c r="A69" i="2"/>
  <c r="D69" i="2"/>
  <c r="A70" i="2"/>
  <c r="D70" i="2"/>
  <c r="A71" i="2"/>
  <c r="D71" i="2"/>
  <c r="G71" i="2"/>
  <c r="A72" i="2"/>
  <c r="D72" i="2"/>
  <c r="G72" i="2"/>
  <c r="A73" i="2"/>
  <c r="D73" i="2"/>
  <c r="A74" i="2"/>
  <c r="D74" i="2"/>
  <c r="A75" i="2"/>
  <c r="D75" i="2"/>
  <c r="G75" i="2"/>
  <c r="A76" i="2"/>
  <c r="D76" i="2"/>
  <c r="G76" i="2"/>
  <c r="A77" i="2"/>
  <c r="D77" i="2"/>
  <c r="G77" i="2"/>
  <c r="A78" i="2"/>
  <c r="D78" i="2"/>
  <c r="A79" i="2"/>
  <c r="D79" i="2"/>
  <c r="A80" i="2"/>
  <c r="D80" i="2"/>
  <c r="A81" i="2"/>
  <c r="D81" i="2"/>
  <c r="G81" i="2"/>
  <c r="A82" i="2"/>
  <c r="D82" i="2"/>
  <c r="A83" i="2"/>
  <c r="D83" i="2"/>
  <c r="A84" i="2"/>
  <c r="D84" i="2"/>
  <c r="G84" i="2"/>
  <c r="A85" i="2"/>
  <c r="D85" i="2"/>
  <c r="A86" i="2"/>
  <c r="D86" i="2"/>
  <c r="A87" i="2"/>
  <c r="D87" i="2"/>
  <c r="A88" i="2"/>
  <c r="D88" i="2"/>
  <c r="A89" i="2"/>
  <c r="D89" i="2"/>
  <c r="G89" i="2"/>
  <c r="A90" i="2"/>
  <c r="D90" i="2"/>
  <c r="A91" i="2"/>
  <c r="D91" i="2"/>
  <c r="G91" i="2"/>
  <c r="A92" i="2"/>
  <c r="D92" i="2"/>
  <c r="A93" i="2"/>
  <c r="D93" i="2"/>
  <c r="A94" i="2"/>
  <c r="D94" i="2"/>
  <c r="G94" i="2"/>
  <c r="A95" i="2"/>
  <c r="D95" i="2"/>
  <c r="A96" i="2"/>
  <c r="D96" i="2"/>
  <c r="G96" i="2"/>
  <c r="A97" i="2"/>
  <c r="D97" i="2"/>
  <c r="A98" i="2"/>
  <c r="D98" i="2"/>
  <c r="G98" i="2"/>
  <c r="A99" i="2"/>
  <c r="D99" i="2"/>
  <c r="G99" i="2"/>
  <c r="A100" i="2"/>
  <c r="D100" i="2"/>
  <c r="A101" i="2"/>
  <c r="D101" i="2"/>
  <c r="A102" i="2"/>
  <c r="D102" i="2"/>
  <c r="G102" i="2"/>
  <c r="A103" i="2"/>
  <c r="D103" i="2"/>
  <c r="G103" i="2"/>
  <c r="A104" i="2"/>
  <c r="D104" i="2"/>
  <c r="A105" i="2"/>
  <c r="D105" i="2"/>
  <c r="A106" i="2"/>
  <c r="D106" i="2"/>
  <c r="G106" i="2"/>
  <c r="A107" i="2"/>
  <c r="D107" i="2"/>
  <c r="A108" i="2"/>
  <c r="D108" i="2"/>
  <c r="A109" i="2"/>
  <c r="D109" i="2"/>
  <c r="G109" i="2"/>
  <c r="A110" i="2"/>
  <c r="D110" i="2"/>
  <c r="G110" i="2"/>
  <c r="A111" i="2"/>
  <c r="D111" i="2"/>
  <c r="G111" i="2"/>
  <c r="A112" i="2"/>
  <c r="D112" i="2"/>
  <c r="A113" i="2"/>
  <c r="D113" i="2"/>
  <c r="A114" i="2"/>
  <c r="D114" i="2"/>
  <c r="A115" i="2"/>
  <c r="D115" i="2"/>
  <c r="G115" i="2"/>
  <c r="A116" i="2"/>
  <c r="D116" i="2"/>
  <c r="A117" i="2"/>
  <c r="D117" i="2"/>
  <c r="A118" i="2"/>
  <c r="D118" i="2"/>
  <c r="A119" i="2"/>
  <c r="D119" i="2"/>
  <c r="G119" i="2"/>
  <c r="A120" i="2"/>
  <c r="D120" i="2"/>
  <c r="G120" i="2"/>
  <c r="A121" i="2"/>
  <c r="D121" i="2"/>
  <c r="G121" i="2"/>
  <c r="A122" i="2"/>
  <c r="D122" i="2"/>
  <c r="A123" i="2"/>
  <c r="D123" i="2"/>
  <c r="A124" i="2"/>
  <c r="D124" i="2"/>
  <c r="G124" i="2"/>
  <c r="A125" i="2"/>
  <c r="D125" i="2"/>
  <c r="A126" i="2"/>
  <c r="D126" i="2"/>
  <c r="A127" i="2"/>
  <c r="D127" i="2"/>
  <c r="G127" i="2"/>
  <c r="A128" i="2"/>
  <c r="D128" i="2"/>
  <c r="G128" i="2"/>
  <c r="A129" i="2"/>
  <c r="D129" i="2"/>
  <c r="A130" i="2"/>
  <c r="D130" i="2"/>
  <c r="A131" i="2"/>
  <c r="D131" i="2"/>
  <c r="G131" i="2"/>
  <c r="A132" i="2"/>
  <c r="D132" i="2"/>
  <c r="A133" i="2"/>
  <c r="D133" i="2"/>
  <c r="A134" i="2"/>
  <c r="D134" i="2"/>
  <c r="G134" i="2"/>
  <c r="A135" i="2"/>
  <c r="D135" i="2"/>
  <c r="A136" i="2"/>
  <c r="D136" i="2"/>
  <c r="A137" i="2"/>
  <c r="D137" i="2"/>
  <c r="A138" i="2"/>
  <c r="D138" i="2"/>
  <c r="A139" i="2"/>
  <c r="D139" i="2"/>
  <c r="A140" i="2"/>
  <c r="D140" i="2"/>
  <c r="G140" i="2"/>
  <c r="C15" i="1" s="1"/>
  <c r="A141" i="2"/>
  <c r="D141" i="2"/>
  <c r="G141" i="2"/>
  <c r="C16" i="1" s="1"/>
  <c r="A142" i="2"/>
  <c r="D142" i="2"/>
  <c r="A143" i="2"/>
  <c r="D143" i="2"/>
  <c r="A144" i="2"/>
  <c r="D144" i="2"/>
  <c r="G144" i="2"/>
  <c r="C19" i="1" s="1"/>
  <c r="A145" i="2"/>
  <c r="D145" i="2"/>
  <c r="G145" i="2"/>
  <c r="C20" i="1"/>
  <c r="D20" i="1" s="1"/>
  <c r="A146" i="2"/>
  <c r="D146" i="2"/>
  <c r="A147" i="2"/>
  <c r="D147" i="2"/>
  <c r="A148" i="2"/>
  <c r="D148" i="2"/>
  <c r="G148" i="2"/>
  <c r="C23" i="1"/>
  <c r="A149" i="2"/>
  <c r="D149" i="2"/>
  <c r="G149" i="2"/>
  <c r="C24" i="1"/>
  <c r="A150" i="2"/>
  <c r="D150" i="2"/>
  <c r="A151" i="2"/>
  <c r="D151" i="2"/>
  <c r="A152" i="2"/>
  <c r="D152" i="2"/>
  <c r="A153" i="2"/>
  <c r="D153" i="2"/>
  <c r="G153" i="2"/>
  <c r="C29" i="1" s="1"/>
  <c r="A154" i="2"/>
  <c r="D154" i="2"/>
  <c r="G154" i="2"/>
  <c r="C30" i="1"/>
  <c r="A27" i="5"/>
  <c r="B27" i="5" s="1"/>
  <c r="A155" i="2"/>
  <c r="D155" i="2"/>
  <c r="A156" i="2"/>
  <c r="D156" i="2"/>
  <c r="A157" i="2"/>
  <c r="D157" i="2"/>
  <c r="G157" i="2"/>
  <c r="C34" i="1" s="1"/>
  <c r="A158" i="2"/>
  <c r="D158" i="2"/>
  <c r="G158" i="2"/>
  <c r="A159" i="2"/>
  <c r="D159" i="2"/>
  <c r="A160" i="2"/>
  <c r="D160" i="2"/>
  <c r="A161" i="2"/>
  <c r="D161" i="2"/>
  <c r="G161" i="2"/>
  <c r="C17" i="1"/>
  <c r="D17" i="1" s="1"/>
  <c r="A162" i="2"/>
  <c r="D162" i="2"/>
  <c r="G162" i="2"/>
  <c r="A163" i="2"/>
  <c r="D163" i="2"/>
  <c r="G163" i="2"/>
  <c r="A164" i="2"/>
  <c r="D164" i="2"/>
  <c r="A165" i="2"/>
  <c r="D165" i="2"/>
  <c r="A166" i="2"/>
  <c r="D166" i="2"/>
  <c r="A167" i="2"/>
  <c r="D167" i="2"/>
  <c r="A168" i="2"/>
  <c r="D168" i="2"/>
  <c r="A169" i="2"/>
  <c r="D169" i="2"/>
  <c r="A170" i="2"/>
  <c r="D170" i="2"/>
  <c r="G170" i="2"/>
  <c r="A171" i="2"/>
  <c r="D171" i="2"/>
  <c r="A172" i="2"/>
  <c r="D172" i="2"/>
  <c r="G172" i="2"/>
  <c r="A173" i="2"/>
  <c r="D173" i="2"/>
  <c r="A174" i="2"/>
  <c r="D174" i="2"/>
  <c r="A175" i="2"/>
  <c r="D175" i="2"/>
  <c r="G175" i="2"/>
  <c r="A176" i="2"/>
  <c r="D176" i="2"/>
  <c r="A25" i="5"/>
  <c r="B25" i="5" s="1"/>
  <c r="D28" i="1"/>
  <c r="D24" i="1"/>
  <c r="A22" i="5"/>
  <c r="B22" i="5" s="1"/>
  <c r="A18" i="5"/>
  <c r="B18" i="5" s="1"/>
  <c r="D23" i="1"/>
  <c r="A21" i="5"/>
  <c r="B21" i="5" s="1"/>
  <c r="D30" i="1"/>
  <c r="D14" i="1"/>
  <c r="A24" i="5"/>
  <c r="B24" i="5" s="1"/>
  <c r="E18" i="5" l="1"/>
  <c r="E25" i="5"/>
  <c r="A17" i="5"/>
  <c r="B17" i="5" s="1"/>
  <c r="D19" i="1"/>
  <c r="E22" i="5"/>
  <c r="A16" i="5"/>
  <c r="B16" i="5" s="1"/>
  <c r="D18" i="1"/>
  <c r="A19" i="5"/>
  <c r="B19" i="5" s="1"/>
  <c r="D21" i="1"/>
  <c r="A23" i="5"/>
  <c r="B23" i="5" s="1"/>
  <c r="D26" i="1"/>
  <c r="D32" i="1" s="1"/>
  <c r="C32" i="1"/>
  <c r="D31" i="1"/>
  <c r="A28" i="5"/>
  <c r="B28" i="5" s="1"/>
  <c r="E21" i="5"/>
  <c r="E27" i="5"/>
  <c r="A13" i="5"/>
  <c r="B13" i="5" s="1"/>
  <c r="D15" i="1"/>
  <c r="D22" i="1"/>
  <c r="A20" i="5"/>
  <c r="B20" i="5" s="1"/>
  <c r="D33" i="1"/>
  <c r="D35" i="1" s="1"/>
  <c r="C35" i="1"/>
  <c r="A29" i="5"/>
  <c r="B29" i="5" s="1"/>
  <c r="E24" i="5"/>
  <c r="A30" i="5"/>
  <c r="B30" i="5" s="1"/>
  <c r="D34" i="1"/>
  <c r="A26" i="5"/>
  <c r="B26" i="5" s="1"/>
  <c r="D29" i="1"/>
  <c r="A14" i="5"/>
  <c r="B14" i="5" s="1"/>
  <c r="D16" i="1"/>
  <c r="B12" i="5"/>
  <c r="C25" i="1"/>
  <c r="A15" i="5"/>
  <c r="B15" i="5" s="1"/>
  <c r="E26" i="5" l="1"/>
  <c r="E15" i="5"/>
  <c r="A31" i="5"/>
  <c r="E14" i="5"/>
  <c r="D25" i="1"/>
  <c r="E28" i="5"/>
  <c r="D36" i="1"/>
  <c r="E19" i="5"/>
  <c r="E17" i="5"/>
  <c r="C37" i="1"/>
  <c r="C38" i="1"/>
  <c r="E12" i="5"/>
  <c r="E30" i="5"/>
  <c r="E29" i="5"/>
  <c r="E20" i="5"/>
  <c r="E13" i="5"/>
  <c r="C29" i="5" s="1"/>
  <c r="C36" i="1"/>
  <c r="E16" i="5"/>
  <c r="C16" i="5"/>
  <c r="E23" i="5"/>
  <c r="C21" i="5" l="1"/>
  <c r="C18" i="5"/>
  <c r="C27" i="5"/>
  <c r="C25" i="5"/>
  <c r="C22" i="5"/>
  <c r="C24" i="5"/>
  <c r="C17" i="5"/>
  <c r="C28" i="5"/>
  <c r="C14" i="5"/>
  <c r="C26" i="5"/>
  <c r="E28" i="1"/>
  <c r="E14" i="1"/>
  <c r="E30" i="1"/>
  <c r="E20" i="1"/>
  <c r="E23" i="1"/>
  <c r="E24" i="1"/>
  <c r="E26" i="1"/>
  <c r="E31" i="1"/>
  <c r="E19" i="1"/>
  <c r="E18" i="1"/>
  <c r="E21" i="1"/>
  <c r="E29" i="1"/>
  <c r="E17" i="1"/>
  <c r="E15" i="1"/>
  <c r="E22" i="1"/>
  <c r="E33" i="1"/>
  <c r="E35" i="1" s="1"/>
  <c r="E34" i="1"/>
  <c r="E16" i="1"/>
  <c r="E27" i="1"/>
  <c r="C19" i="5"/>
  <c r="C23" i="5"/>
  <c r="C20" i="5"/>
  <c r="C30" i="5"/>
  <c r="D38" i="1"/>
  <c r="D37" i="1"/>
  <c r="C13" i="5"/>
  <c r="C12" i="5"/>
  <c r="C15" i="5"/>
  <c r="H14" i="5" l="1"/>
  <c r="H15" i="5"/>
  <c r="J12" i="5"/>
  <c r="I12" i="5" s="1"/>
  <c r="J16" i="5"/>
  <c r="I16" i="5" s="1"/>
  <c r="H13" i="5"/>
  <c r="J15" i="5"/>
  <c r="I15" i="5" s="1"/>
  <c r="H16" i="5"/>
  <c r="J14" i="5"/>
  <c r="I14" i="5" s="1"/>
  <c r="J13" i="5"/>
  <c r="I13" i="5" s="1"/>
  <c r="H12" i="5"/>
  <c r="E32" i="1"/>
  <c r="E36" i="1" s="1"/>
  <c r="E25" i="1"/>
  <c r="E38" i="1" l="1"/>
  <c r="E37" i="1"/>
  <c r="I17" i="5"/>
  <c r="I11" i="5" s="1"/>
</calcChain>
</file>

<file path=xl/sharedStrings.xml><?xml version="1.0" encoding="utf-8"?>
<sst xmlns="http://schemas.openxmlformats.org/spreadsheetml/2006/main" count="359" uniqueCount="87">
  <si>
    <t xml:space="preserve">                     SECRETARIA DE ESTADO DA AGRICULTURA E DO ABASTECIMENTO DO PARANÁ - SEAB</t>
  </si>
  <si>
    <t xml:space="preserve">                     DEPARTAMENTO DE ECONOMIA RURAL - DERAL</t>
  </si>
  <si>
    <t>ESTIMATIVA DO CUSTO DE PRODUÇÃO</t>
  </si>
  <si>
    <t>PRODUTO:</t>
  </si>
  <si>
    <t>MÊS/ANO:</t>
  </si>
  <si>
    <t xml:space="preserve">Produtividade:  </t>
  </si>
  <si>
    <t>Especificação</t>
  </si>
  <si>
    <t>R$/ha</t>
  </si>
  <si>
    <t>Participação (%)</t>
  </si>
  <si>
    <t>1    -</t>
  </si>
  <si>
    <t>Operação de máquinas e implementos</t>
  </si>
  <si>
    <t>2    -</t>
  </si>
  <si>
    <t>Despesas de manutenção de benfeitorias</t>
  </si>
  <si>
    <t>3    -</t>
  </si>
  <si>
    <t>Mão-de-obra temporária</t>
  </si>
  <si>
    <t>4    -</t>
  </si>
  <si>
    <t>Sementes/Manivas</t>
  </si>
  <si>
    <t>5    -</t>
  </si>
  <si>
    <t>Fertilizantes</t>
  </si>
  <si>
    <t>6    -</t>
  </si>
  <si>
    <t>Agrotóxicos</t>
  </si>
  <si>
    <t>7    -</t>
  </si>
  <si>
    <t>Despesas gerais</t>
  </si>
  <si>
    <t>8    -</t>
  </si>
  <si>
    <t>Transporte externo</t>
  </si>
  <si>
    <t>9    -</t>
  </si>
  <si>
    <t>Assistência técnica</t>
  </si>
  <si>
    <t>10    -</t>
  </si>
  <si>
    <t>PROAGRO/SEGURO</t>
  </si>
  <si>
    <t>11    -</t>
  </si>
  <si>
    <t>Juros</t>
  </si>
  <si>
    <t>TOTAL DOS CUSTOS VARIÁVEIS (A)</t>
  </si>
  <si>
    <t>Depreciação de máquinas e implementos</t>
  </si>
  <si>
    <t>Depreciação de benfeitorias e instalações</t>
  </si>
  <si>
    <t>Sistematização e correção do solo</t>
  </si>
  <si>
    <t>Cultura</t>
  </si>
  <si>
    <t>Seguro do capital</t>
  </si>
  <si>
    <t>Mão-de-obra permanente</t>
  </si>
  <si>
    <t>SUB-TOTAL (B)</t>
  </si>
  <si>
    <t>Remuneração do Capital próprio</t>
  </si>
  <si>
    <t>Remuneração da terra</t>
  </si>
  <si>
    <t>SUB-TOTAL ( C )</t>
  </si>
  <si>
    <t>TOTAL DOS CUSTOS FIXOS (B+C)</t>
  </si>
  <si>
    <t>CUSTO OPERACIONAL (A+B)</t>
  </si>
  <si>
    <t>CUSTO TOTAL (A+B+C)</t>
  </si>
  <si>
    <t>FONTE: SEAB/DERAL</t>
  </si>
  <si>
    <t>Obs: Coeficientes e sistemas de produção ajustados inclusive nos meses anteriores a esta pesquisa.</t>
  </si>
  <si>
    <t>a</t>
  </si>
  <si>
    <t>b</t>
  </si>
  <si>
    <t>bb</t>
  </si>
  <si>
    <t>bbb</t>
  </si>
  <si>
    <t>c</t>
  </si>
  <si>
    <t>Custo</t>
  </si>
  <si>
    <t>t</t>
  </si>
  <si>
    <t>-</t>
  </si>
  <si>
    <t>CULTURA</t>
  </si>
  <si>
    <t>PRODUTIVIDADE</t>
  </si>
  <si>
    <t>UNIDADE</t>
  </si>
  <si>
    <t>UNIDADE2</t>
  </si>
  <si>
    <t>Sistema</t>
  </si>
  <si>
    <t>CAFÉ ADENSADO</t>
  </si>
  <si>
    <t xml:space="preserve">SC 60kg/ha </t>
  </si>
  <si>
    <t>R$/60kg</t>
  </si>
  <si>
    <t>FEIJÃO 1ª SAFRA</t>
  </si>
  <si>
    <t>FEIJÃO 2ª SAFRA</t>
  </si>
  <si>
    <t>SPD</t>
  </si>
  <si>
    <t>MANDIOCA (1 CICLO)</t>
  </si>
  <si>
    <t xml:space="preserve">ton/ha </t>
  </si>
  <si>
    <t>R$/ton</t>
  </si>
  <si>
    <t>MANDIOCA (2 CICLOS)</t>
  </si>
  <si>
    <t>MILHO (1ª safra)</t>
  </si>
  <si>
    <t>MILHO (2ª safra)</t>
  </si>
  <si>
    <t>SOJA</t>
  </si>
  <si>
    <t>TRIGO</t>
  </si>
  <si>
    <t>Outros</t>
  </si>
  <si>
    <t>Feijão 1ª safra</t>
  </si>
  <si>
    <t>Feijão 2ª safra</t>
  </si>
  <si>
    <t>Mandioca 1 ciclo</t>
  </si>
  <si>
    <t>Mandioca 2 ciclos</t>
  </si>
  <si>
    <t>Milho 1ª safra</t>
  </si>
  <si>
    <t>Milho 2ª safra</t>
  </si>
  <si>
    <t>Soja</t>
  </si>
  <si>
    <t>Trigo</t>
  </si>
  <si>
    <t>Consumo médio estimado de óleo diesel</t>
  </si>
  <si>
    <t>Consumo (litros por hectare)</t>
  </si>
  <si>
    <t>SECRETARIA DE ESTADO DA AGRICULTURA E DO ABASTECIMENTO DO PARANÁ - SEAB</t>
  </si>
  <si>
    <t>DEPARTAMENTO DE ECONOMIA RURAL - 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</si>
</sst>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mmm\-yy"/>
    <numFmt numFmtId="167" formatCode="0.0"/>
  </numFmts>
  <fonts count="14" x14ac:knownFonts="1">
    <font>
      <sz val="10"/>
      <name val="Arial"/>
    </font>
    <font>
      <sz val="10"/>
      <name val="Arial"/>
      <family val="2"/>
    </font>
    <font>
      <b/>
      <sz val="9"/>
      <name val="Tahoma"/>
      <family val="2"/>
    </font>
    <font>
      <b/>
      <sz val="10"/>
      <name val="Tahoma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color indexed="12"/>
      <name val="Tahoma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 vertical="center" wrapText="1"/>
      <protection hidden="1"/>
    </xf>
    <xf numFmtId="4" fontId="0" fillId="0" borderId="0" xfId="0" applyNumberFormat="1" applyProtection="1">
      <protection hidden="1"/>
    </xf>
    <xf numFmtId="0" fontId="8" fillId="0" borderId="0" xfId="1" applyFont="1" applyBorder="1" applyAlignment="1" applyProtection="1">
      <alignment horizontal="right"/>
      <protection hidden="1"/>
    </xf>
    <xf numFmtId="0" fontId="8" fillId="0" borderId="0" xfId="1" applyFont="1" applyBorder="1" applyAlignment="1" applyProtection="1">
      <alignment horizontal="left"/>
      <protection hidden="1"/>
    </xf>
    <xf numFmtId="4" fontId="9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Border="1" applyProtection="1">
      <protection hidden="1"/>
    </xf>
    <xf numFmtId="0" fontId="10" fillId="0" borderId="1" xfId="1" applyFont="1" applyBorder="1" applyAlignment="1" applyProtection="1">
      <alignment horizontal="center"/>
      <protection hidden="1"/>
    </xf>
    <xf numFmtId="0" fontId="10" fillId="0" borderId="1" xfId="1" applyFont="1" applyBorder="1" applyProtection="1">
      <protection hidden="1"/>
    </xf>
    <xf numFmtId="4" fontId="10" fillId="0" borderId="1" xfId="1" applyNumberFormat="1" applyFont="1" applyBorder="1" applyAlignment="1" applyProtection="1">
      <alignment horizontal="center" vertical="center"/>
      <protection hidden="1"/>
    </xf>
    <xf numFmtId="9" fontId="0" fillId="0" borderId="0" xfId="0" applyNumberFormat="1" applyProtection="1">
      <protection hidden="1"/>
    </xf>
    <xf numFmtId="0" fontId="10" fillId="0" borderId="1" xfId="1" applyFont="1" applyBorder="1" applyAlignment="1" applyProtection="1">
      <alignment horizontal="left"/>
      <protection hidden="1"/>
    </xf>
    <xf numFmtId="0" fontId="8" fillId="0" borderId="0" xfId="1" applyFont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Border="1"/>
    <xf numFmtId="0" fontId="0" fillId="2" borderId="0" xfId="0" applyFill="1" applyBorder="1"/>
    <xf numFmtId="0" fontId="11" fillId="0" borderId="0" xfId="1" applyFont="1" applyBorder="1" applyAlignment="1" applyProtection="1">
      <alignment horizontal="right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left"/>
      <protection locked="0"/>
    </xf>
    <xf numFmtId="0" fontId="11" fillId="0" borderId="0" xfId="1" applyFont="1" applyBorder="1" applyProtection="1">
      <protection locked="0"/>
    </xf>
    <xf numFmtId="165" fontId="0" fillId="0" borderId="0" xfId="0" applyNumberFormat="1"/>
    <xf numFmtId="0" fontId="11" fillId="0" borderId="0" xfId="1" applyFont="1" applyBorder="1" applyAlignment="1" applyProtection="1">
      <alignment horizontal="left"/>
    </xf>
    <xf numFmtId="0" fontId="12" fillId="0" borderId="0" xfId="0" applyFont="1" applyBorder="1" applyAlignment="1">
      <alignment horizontal="center"/>
    </xf>
    <xf numFmtId="164" fontId="11" fillId="3" borderId="0" xfId="2" applyFont="1" applyFill="1" applyBorder="1" applyAlignment="1" applyProtection="1">
      <protection locked="0"/>
    </xf>
    <xf numFmtId="2" fontId="0" fillId="0" borderId="0" xfId="0" applyNumberFormat="1" applyFont="1" applyBorder="1" applyAlignment="1">
      <alignment horizontal="center"/>
    </xf>
    <xf numFmtId="0" fontId="11" fillId="0" borderId="0" xfId="1" applyFont="1" applyBorder="1" applyProtection="1"/>
    <xf numFmtId="164" fontId="11" fillId="3" borderId="0" xfId="2" applyFont="1" applyFill="1" applyBorder="1" applyAlignment="1" applyProtection="1">
      <alignment horizontal="center"/>
      <protection locked="0"/>
    </xf>
    <xf numFmtId="4" fontId="11" fillId="3" borderId="0" xfId="1" applyNumberFormat="1" applyFont="1" applyFill="1" applyProtection="1">
      <protection locked="0"/>
    </xf>
    <xf numFmtId="0" fontId="11" fillId="3" borderId="0" xfId="1" applyFont="1" applyFill="1" applyProtection="1">
      <protection locked="0"/>
    </xf>
    <xf numFmtId="2" fontId="11" fillId="3" borderId="0" xfId="1" applyNumberFormat="1" applyFont="1" applyFill="1" applyProtection="1">
      <protection locked="0"/>
    </xf>
    <xf numFmtId="0" fontId="11" fillId="4" borderId="0" xfId="1" applyFont="1" applyFill="1" applyBorder="1" applyAlignment="1" applyProtection="1">
      <alignment horizontal="left"/>
    </xf>
    <xf numFmtId="2" fontId="11" fillId="4" borderId="0" xfId="1" applyNumberFormat="1" applyFont="1" applyFill="1" applyProtection="1">
      <protection locked="0"/>
    </xf>
    <xf numFmtId="0" fontId="11" fillId="4" borderId="0" xfId="1" applyFont="1" applyFill="1" applyBorder="1" applyProtection="1"/>
    <xf numFmtId="0" fontId="0" fillId="0" borderId="0" xfId="0" applyNumberFormat="1"/>
    <xf numFmtId="2" fontId="0" fillId="0" borderId="0" xfId="0" applyNumberFormat="1" applyFont="1" applyBorder="1"/>
    <xf numFmtId="0" fontId="0" fillId="0" borderId="0" xfId="0" applyFont="1" applyBorder="1"/>
    <xf numFmtId="164" fontId="11" fillId="5" borderId="0" xfId="2" applyFont="1" applyFill="1" applyBorder="1" applyAlignment="1" applyProtection="1">
      <protection locked="0"/>
    </xf>
    <xf numFmtId="164" fontId="11" fillId="5" borderId="0" xfId="2" applyFont="1" applyFill="1" applyBorder="1" applyAlignment="1" applyProtection="1">
      <alignment horizontal="center"/>
      <protection locked="0"/>
    </xf>
    <xf numFmtId="4" fontId="11" fillId="5" borderId="0" xfId="1" applyNumberFormat="1" applyFont="1" applyFill="1" applyBorder="1" applyProtection="1">
      <protection locked="0"/>
    </xf>
    <xf numFmtId="0" fontId="11" fillId="5" borderId="0" xfId="1" applyFont="1" applyFill="1" applyBorder="1" applyProtection="1">
      <protection locked="0"/>
    </xf>
    <xf numFmtId="2" fontId="11" fillId="5" borderId="0" xfId="1" applyNumberFormat="1" applyFont="1" applyFill="1" applyBorder="1" applyProtection="1">
      <protection locked="0"/>
    </xf>
    <xf numFmtId="2" fontId="11" fillId="6" borderId="0" xfId="1" applyNumberFormat="1" applyFont="1" applyFill="1" applyBorder="1" applyProtection="1">
      <protection locked="0"/>
    </xf>
    <xf numFmtId="0" fontId="0" fillId="7" borderId="0" xfId="0" applyFill="1" applyProtection="1">
      <protection hidden="1"/>
    </xf>
    <xf numFmtId="0" fontId="2" fillId="7" borderId="0" xfId="0" applyFont="1" applyFill="1" applyAlignment="1" applyProtection="1">
      <alignment horizontal="left"/>
      <protection hidden="1"/>
    </xf>
    <xf numFmtId="0" fontId="0" fillId="7" borderId="0" xfId="0" applyFill="1"/>
    <xf numFmtId="0" fontId="13" fillId="7" borderId="0" xfId="0" applyFont="1" applyFill="1"/>
    <xf numFmtId="0" fontId="13" fillId="7" borderId="2" xfId="0" applyFont="1" applyFill="1" applyBorder="1"/>
    <xf numFmtId="0" fontId="0" fillId="7" borderId="2" xfId="0" applyFill="1" applyBorder="1"/>
    <xf numFmtId="167" fontId="0" fillId="7" borderId="2" xfId="0" applyNumberFormat="1" applyFill="1" applyBorder="1"/>
    <xf numFmtId="0" fontId="0" fillId="7" borderId="0" xfId="0" applyFill="1" applyBorder="1"/>
    <xf numFmtId="167" fontId="0" fillId="7" borderId="0" xfId="0" applyNumberFormat="1" applyFill="1" applyBorder="1"/>
    <xf numFmtId="0" fontId="0" fillId="7" borderId="3" xfId="0" applyFill="1" applyBorder="1"/>
    <xf numFmtId="167" fontId="0" fillId="7" borderId="3" xfId="0" applyNumberFormat="1" applyFill="1" applyBorder="1"/>
    <xf numFmtId="0" fontId="13" fillId="7" borderId="2" xfId="0" applyFont="1" applyFill="1" applyBorder="1" applyAlignment="1"/>
    <xf numFmtId="0" fontId="6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5" fillId="0" borderId="0" xfId="1" applyFont="1" applyBorder="1" applyAlignment="1" applyProtection="1">
      <alignment horizontal="right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horizontal="center"/>
      <protection hidden="1"/>
    </xf>
  </cellXfs>
  <cellStyles count="3">
    <cellStyle name="Normal" xfId="0" builtinId="0"/>
    <cellStyle name="Normal_HUMBERTO" xfId="1"/>
    <cellStyle name="Separador de milhares_HUMBERTO" xfId="2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Principais Componentes do Custo de Produção</a:t>
            </a:r>
          </a:p>
        </c:rich>
      </c:tx>
      <c:layout>
        <c:manualLayout>
          <c:xMode val="edge"/>
          <c:yMode val="edge"/>
          <c:x val="0.12469517615518942"/>
          <c:y val="5.83571711070362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136704823863285"/>
          <c:y val="0.4085006734042349"/>
          <c:w val="0.19753698185670024"/>
          <c:h val="0.42441628405634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24-4D4B-8C98-5340F8522BB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993300"/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24-4D4B-8C98-5340F8522BB8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24-4D4B-8C98-5340F8522BB8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24-4D4B-8C98-5340F8522BB8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524-4D4B-8C98-5340F8522BB8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24-4D4B-8C98-5340F8522BB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524-4D4B-8C98-5340F8522BB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24-4D4B-8C98-5340F8522BB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524-4D4B-8C98-5340F8522BB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524-4D4B-8C98-5340F8522BB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524-4D4B-8C98-5340F8522BB8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524-4D4B-8C98-5340F8522B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grafico2!$H$11:$H$16</c:f>
              <c:strCache>
                <c:ptCount val="6"/>
                <c:pt idx="0">
                  <c:v>Outros</c:v>
                </c:pt>
                <c:pt idx="1">
                  <c:v>Remuneração da terra</c:v>
                </c:pt>
                <c:pt idx="2">
                  <c:v>Fertilizantes</c:v>
                </c:pt>
                <c:pt idx="3">
                  <c:v>Sementes/Manivas</c:v>
                </c:pt>
                <c:pt idx="4">
                  <c:v>Agrotóxicos</c:v>
                </c:pt>
                <c:pt idx="5">
                  <c:v>Operação de máquinas e implementos</c:v>
                </c:pt>
              </c:strCache>
            </c:strRef>
          </c:cat>
          <c:val>
            <c:numRef>
              <c:f>grafico2!$I$11:$I$16</c:f>
              <c:numCache>
                <c:formatCode>General</c:formatCode>
                <c:ptCount val="6"/>
                <c:pt idx="0">
                  <c:v>0.32989147613528613</c:v>
                </c:pt>
                <c:pt idx="1">
                  <c:v>0.24500120657600918</c:v>
                </c:pt>
                <c:pt idx="2">
                  <c:v>0.14665846421567461</c:v>
                </c:pt>
                <c:pt idx="3">
                  <c:v>0.12663949888009354</c:v>
                </c:pt>
                <c:pt idx="4">
                  <c:v>8.2621566781433009E-2</c:v>
                </c:pt>
                <c:pt idx="5">
                  <c:v>6.9187787411503596E-2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24-4D4B-8C98-5340F8522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trlProps/ctrlProp1.xml><?xml version="1.0" encoding="utf-8"?>
<formControlPr xmlns="http://schemas.microsoft.com/office/spreadsheetml/2009/9/main" objectType="Drop" dropLines="13" dropStyle="combo" dx="22" fmlaLink="produto!$A$1" fmlaRange="produto!$B$2:$B$10" sel="8" val="0"/>
</file>

<file path=xl/ctrlProps/ctrlProp2.xml><?xml version="1.0" encoding="utf-8"?>
<formControlPr xmlns="http://schemas.microsoft.com/office/spreadsheetml/2009/9/main" objectType="Drop" dropLines="5" dropStyle="combo" dx="22" fmlaLink="mes_ano!$A$1" fmlaRange="mes_ano!$B$2:$B$6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6</xdr:col>
      <xdr:colOff>0</xdr:colOff>
      <xdr:row>64</xdr:row>
      <xdr:rowOff>9525</xdr:rowOff>
    </xdr:to>
    <xdr:graphicFrame macro="">
      <xdr:nvGraphicFramePr>
        <xdr:cNvPr id="105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400050</xdr:colOff>
          <xdr:row>6</xdr:row>
          <xdr:rowOff>104775</xdr:rowOff>
        </xdr:from>
        <xdr:to>
          <xdr:col>1</xdr:col>
          <xdr:colOff>2543175</xdr:colOff>
          <xdr:row>8</xdr:row>
          <xdr:rowOff>9525</xdr:rowOff>
        </xdr:to>
        <xdr:sp macro="" textlink="">
          <xdr:nvSpPr>
            <xdr:cNvPr id="1026" name="Lista suspensa 4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400050</xdr:colOff>
          <xdr:row>8</xdr:row>
          <xdr:rowOff>133350</xdr:rowOff>
        </xdr:from>
        <xdr:to>
          <xdr:col>1</xdr:col>
          <xdr:colOff>2543175</xdr:colOff>
          <xdr:row>10</xdr:row>
          <xdr:rowOff>38100</xdr:rowOff>
        </xdr:to>
        <xdr:sp macro="" textlink="">
          <xdr:nvSpPr>
            <xdr:cNvPr id="1027" name="Lista suspensa 5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S_Nov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Internet"/>
      <sheetName val="CUSTO-HORA"/>
      <sheetName val="CaféA"/>
      <sheetName val="FEIJÃO_ÁGUAS_ATUALIZADO"/>
      <sheetName val="FEIJÃO_SECA_ATUALIZADO"/>
      <sheetName val="Mandioca_1Ciclo_NOVA"/>
      <sheetName val="Mandioca_2Ciclos_NOVA (2)"/>
      <sheetName val="MILHO_PD_ATUALIZADO"/>
      <sheetName val="Milho_saf_pd"/>
      <sheetName val="SOJA_TRANG_ATUALIZADO"/>
      <sheetName val="TRIGO_PD"/>
    </sheetNames>
    <sheetDataSet>
      <sheetData sheetId="0"/>
      <sheetData sheetId="1"/>
      <sheetData sheetId="2"/>
      <sheetData sheetId="3">
        <row r="8">
          <cell r="U8">
            <v>1191.77</v>
          </cell>
        </row>
        <row r="9">
          <cell r="U9">
            <v>29.34</v>
          </cell>
        </row>
        <row r="11">
          <cell r="U11">
            <v>125.93</v>
          </cell>
        </row>
        <row r="13">
          <cell r="U13">
            <v>20020.990000000002</v>
          </cell>
        </row>
        <row r="16">
          <cell r="U16">
            <v>6375.1</v>
          </cell>
        </row>
        <row r="17">
          <cell r="U17">
            <v>3683.61</v>
          </cell>
        </row>
        <row r="19">
          <cell r="U19">
            <v>635.91</v>
          </cell>
        </row>
        <row r="20">
          <cell r="U20">
            <v>411.6</v>
          </cell>
        </row>
        <row r="22">
          <cell r="U22">
            <v>648.63</v>
          </cell>
        </row>
        <row r="23">
          <cell r="U23">
            <v>1852.71</v>
          </cell>
        </row>
        <row r="24">
          <cell r="U24">
            <v>1501.32</v>
          </cell>
        </row>
        <row r="28">
          <cell r="U28">
            <v>519.98</v>
          </cell>
        </row>
        <row r="29">
          <cell r="U29">
            <v>173.12</v>
          </cell>
        </row>
        <row r="30">
          <cell r="U30">
            <v>762.19</v>
          </cell>
        </row>
        <row r="31">
          <cell r="U31">
            <v>2971.16</v>
          </cell>
        </row>
        <row r="33">
          <cell r="U33">
            <v>229.22</v>
          </cell>
        </row>
        <row r="34">
          <cell r="U34">
            <v>266.39999999999998</v>
          </cell>
        </row>
        <row r="36">
          <cell r="U36">
            <v>29.73</v>
          </cell>
        </row>
        <row r="37">
          <cell r="U37">
            <v>50.17</v>
          </cell>
        </row>
        <row r="39">
          <cell r="U39">
            <v>2188.61</v>
          </cell>
        </row>
        <row r="40">
          <cell r="U40">
            <v>368.6</v>
          </cell>
        </row>
        <row r="41">
          <cell r="U41">
            <v>1441.69</v>
          </cell>
        </row>
      </sheetData>
      <sheetData sheetId="4">
        <row r="13">
          <cell r="U13">
            <v>161.87</v>
          </cell>
        </row>
        <row r="14">
          <cell r="U14">
            <v>21.39</v>
          </cell>
        </row>
        <row r="16">
          <cell r="U16">
            <v>102.97</v>
          </cell>
        </row>
        <row r="18">
          <cell r="U18">
            <v>59.18</v>
          </cell>
        </row>
        <row r="21">
          <cell r="U21">
            <v>542.5</v>
          </cell>
        </row>
        <row r="22">
          <cell r="U22">
            <v>1135</v>
          </cell>
        </row>
        <row r="23">
          <cell r="U23">
            <v>624.54</v>
          </cell>
        </row>
        <row r="25">
          <cell r="U25">
            <v>60.38</v>
          </cell>
        </row>
        <row r="26">
          <cell r="U26">
            <v>102.9</v>
          </cell>
        </row>
        <row r="28">
          <cell r="U28">
            <v>61.59</v>
          </cell>
        </row>
        <row r="29">
          <cell r="U29">
            <v>198.72</v>
          </cell>
        </row>
        <row r="30">
          <cell r="U30">
            <v>95.1</v>
          </cell>
        </row>
        <row r="34">
          <cell r="U34">
            <v>191.39</v>
          </cell>
        </row>
        <row r="35">
          <cell r="U35">
            <v>115.06</v>
          </cell>
        </row>
        <row r="36">
          <cell r="U36">
            <v>154.07</v>
          </cell>
        </row>
        <row r="38">
          <cell r="U38">
            <v>104.71</v>
          </cell>
        </row>
        <row r="39">
          <cell r="U39">
            <v>155.33000000000001</v>
          </cell>
        </row>
        <row r="41">
          <cell r="U41">
            <v>191.39</v>
          </cell>
        </row>
        <row r="42">
          <cell r="U42">
            <v>29.26</v>
          </cell>
        </row>
        <row r="44">
          <cell r="U44">
            <v>212.27</v>
          </cell>
        </row>
        <row r="45">
          <cell r="U45">
            <v>44.62</v>
          </cell>
        </row>
        <row r="46">
          <cell r="U46">
            <v>1441.69</v>
          </cell>
        </row>
      </sheetData>
      <sheetData sheetId="5">
        <row r="13">
          <cell r="V13">
            <v>251.42</v>
          </cell>
        </row>
        <row r="16">
          <cell r="V16">
            <v>64.36</v>
          </cell>
        </row>
        <row r="17">
          <cell r="AD17"/>
        </row>
        <row r="18">
          <cell r="V18">
            <v>66.97</v>
          </cell>
        </row>
        <row r="21">
          <cell r="V21">
            <v>868</v>
          </cell>
        </row>
        <row r="22">
          <cell r="V22">
            <v>1339</v>
          </cell>
        </row>
        <row r="23">
          <cell r="V23">
            <v>851.14</v>
          </cell>
        </row>
        <row r="25">
          <cell r="V25">
            <v>69.8</v>
          </cell>
        </row>
        <row r="26">
          <cell r="V26">
            <v>116.62</v>
          </cell>
        </row>
        <row r="28">
          <cell r="V28">
            <v>71.2</v>
          </cell>
        </row>
        <row r="29">
          <cell r="V29">
            <v>233.59</v>
          </cell>
        </row>
        <row r="30">
          <cell r="V30">
            <v>121.99</v>
          </cell>
        </row>
        <row r="34">
          <cell r="V34">
            <v>248.98</v>
          </cell>
        </row>
        <row r="35">
          <cell r="V35">
            <v>54.46</v>
          </cell>
        </row>
        <row r="36">
          <cell r="V36">
            <v>154.07</v>
          </cell>
        </row>
        <row r="38">
          <cell r="V38">
            <v>109.74</v>
          </cell>
        </row>
        <row r="39">
          <cell r="V39">
            <v>73.52</v>
          </cell>
        </row>
        <row r="41">
          <cell r="V41">
            <v>14.25</v>
          </cell>
        </row>
        <row r="42">
          <cell r="V42">
            <v>13.84</v>
          </cell>
        </row>
        <row r="44">
          <cell r="V44">
            <v>246.19</v>
          </cell>
        </row>
        <row r="45">
          <cell r="V45">
            <v>52.42</v>
          </cell>
        </row>
        <row r="46">
          <cell r="V46">
            <v>1441.69</v>
          </cell>
        </row>
      </sheetData>
      <sheetData sheetId="6">
        <row r="12">
          <cell r="W12">
            <v>690.91</v>
          </cell>
        </row>
        <row r="13">
          <cell r="W13">
            <v>13.12</v>
          </cell>
        </row>
        <row r="15">
          <cell r="W15">
            <v>88.79</v>
          </cell>
        </row>
        <row r="16">
          <cell r="W16">
            <v>72.180000000000007</v>
          </cell>
        </row>
        <row r="17">
          <cell r="W17">
            <v>4354.79</v>
          </cell>
        </row>
        <row r="19">
          <cell r="W19">
            <v>694.21</v>
          </cell>
        </row>
        <row r="20">
          <cell r="W20">
            <v>698.35</v>
          </cell>
        </row>
        <row r="21">
          <cell r="W21">
            <v>372.29</v>
          </cell>
        </row>
        <row r="22">
          <cell r="W22">
            <v>143.33000000000001</v>
          </cell>
        </row>
        <row r="23">
          <cell r="W23">
            <v>1320</v>
          </cell>
        </row>
        <row r="25">
          <cell r="W25">
            <v>146.19999999999999</v>
          </cell>
        </row>
        <row r="27">
          <cell r="W27">
            <v>178.75</v>
          </cell>
        </row>
        <row r="33">
          <cell r="W33">
            <v>290.64</v>
          </cell>
        </row>
        <row r="34">
          <cell r="W34">
            <v>47.41</v>
          </cell>
        </row>
        <row r="35">
          <cell r="W35">
            <v>756.6</v>
          </cell>
        </row>
        <row r="38">
          <cell r="W38">
            <v>129.24</v>
          </cell>
        </row>
        <row r="39">
          <cell r="W39">
            <v>64</v>
          </cell>
        </row>
        <row r="41">
          <cell r="W41">
            <v>16.239999999999998</v>
          </cell>
        </row>
        <row r="43">
          <cell r="W43">
            <v>12.05</v>
          </cell>
        </row>
        <row r="45">
          <cell r="W45">
            <v>526.38</v>
          </cell>
        </row>
        <row r="46">
          <cell r="W46">
            <v>182.15</v>
          </cell>
        </row>
        <row r="47">
          <cell r="W47">
            <v>1348.73</v>
          </cell>
        </row>
      </sheetData>
      <sheetData sheetId="7">
        <row r="12">
          <cell r="W12">
            <v>777.93</v>
          </cell>
        </row>
        <row r="13">
          <cell r="W13">
            <v>18.329999999999998</v>
          </cell>
        </row>
        <row r="15">
          <cell r="W15">
            <v>133.19</v>
          </cell>
        </row>
        <row r="16">
          <cell r="W16">
            <v>72.180000000000007</v>
          </cell>
        </row>
        <row r="17">
          <cell r="W17">
            <v>7094.98</v>
          </cell>
        </row>
        <row r="19">
          <cell r="W19">
            <v>694.21</v>
          </cell>
        </row>
        <row r="20">
          <cell r="W20">
            <v>942.15</v>
          </cell>
        </row>
        <row r="21">
          <cell r="W21">
            <v>744.59</v>
          </cell>
        </row>
        <row r="22">
          <cell r="W22">
            <v>213.67</v>
          </cell>
        </row>
        <row r="23">
          <cell r="W23">
            <v>1983.47</v>
          </cell>
        </row>
        <row r="25">
          <cell r="W25">
            <v>217.94</v>
          </cell>
        </row>
        <row r="27">
          <cell r="W27">
            <v>253.42</v>
          </cell>
        </row>
        <row r="33">
          <cell r="W33">
            <v>358.8</v>
          </cell>
        </row>
        <row r="34">
          <cell r="W34">
            <v>47.41</v>
          </cell>
        </row>
        <row r="35">
          <cell r="W35">
            <v>756.6</v>
          </cell>
        </row>
        <row r="38">
          <cell r="W38">
            <v>157.41999999999999</v>
          </cell>
        </row>
        <row r="39">
          <cell r="W39">
            <v>64</v>
          </cell>
        </row>
        <row r="41">
          <cell r="W41">
            <v>19.62</v>
          </cell>
        </row>
        <row r="42">
          <cell r="W42">
            <v>12.05</v>
          </cell>
        </row>
        <row r="44">
          <cell r="W44">
            <v>788.76</v>
          </cell>
        </row>
        <row r="45">
          <cell r="W45">
            <v>205.91</v>
          </cell>
        </row>
        <row r="49">
          <cell r="W49">
            <v>15335.23</v>
          </cell>
        </row>
      </sheetData>
      <sheetData sheetId="8">
        <row r="8">
          <cell r="T8">
            <v>316.27</v>
          </cell>
        </row>
        <row r="9">
          <cell r="T9">
            <v>27.27</v>
          </cell>
        </row>
        <row r="11">
          <cell r="T11">
            <v>51.49</v>
          </cell>
        </row>
        <row r="13">
          <cell r="T13">
            <v>62.3</v>
          </cell>
        </row>
        <row r="15">
          <cell r="T15">
            <v>1416.95</v>
          </cell>
        </row>
        <row r="16">
          <cell r="T16">
            <v>2285</v>
          </cell>
        </row>
        <row r="17">
          <cell r="T17">
            <v>229.88</v>
          </cell>
        </row>
        <row r="19">
          <cell r="T19">
            <v>87.78</v>
          </cell>
        </row>
        <row r="20">
          <cell r="T20">
            <v>480.2</v>
          </cell>
        </row>
        <row r="22">
          <cell r="T22">
            <v>89.54</v>
          </cell>
        </row>
        <row r="23">
          <cell r="T23">
            <v>263.35000000000002</v>
          </cell>
        </row>
        <row r="24">
          <cell r="T24">
            <v>162.18</v>
          </cell>
        </row>
        <row r="29">
          <cell r="T29">
            <v>438.8</v>
          </cell>
        </row>
        <row r="31">
          <cell r="T31">
            <v>75.16</v>
          </cell>
        </row>
        <row r="32">
          <cell r="T32">
            <v>161.47999999999999</v>
          </cell>
        </row>
        <row r="35">
          <cell r="T35">
            <v>223.55</v>
          </cell>
        </row>
        <row r="36">
          <cell r="T36">
            <v>101.47</v>
          </cell>
        </row>
        <row r="38">
          <cell r="T38">
            <v>29.03</v>
          </cell>
        </row>
        <row r="39">
          <cell r="T39">
            <v>19.11</v>
          </cell>
        </row>
        <row r="41">
          <cell r="T41">
            <v>328.33</v>
          </cell>
        </row>
        <row r="42">
          <cell r="T42">
            <v>59.32</v>
          </cell>
        </row>
        <row r="43">
          <cell r="T43">
            <v>1441.69</v>
          </cell>
        </row>
      </sheetData>
      <sheetData sheetId="9">
        <row r="9">
          <cell r="T9">
            <v>285.44</v>
          </cell>
        </row>
        <row r="10">
          <cell r="T10">
            <v>17.95</v>
          </cell>
        </row>
        <row r="12">
          <cell r="T12">
            <v>73.55</v>
          </cell>
        </row>
        <row r="14">
          <cell r="T14">
            <v>54.51</v>
          </cell>
        </row>
        <row r="16">
          <cell r="T16">
            <v>1180.79</v>
          </cell>
        </row>
        <row r="17">
          <cell r="T17">
            <v>532.5</v>
          </cell>
        </row>
        <row r="18">
          <cell r="T18">
            <v>245.22</v>
          </cell>
        </row>
        <row r="20">
          <cell r="T20">
            <v>47.8</v>
          </cell>
        </row>
        <row r="21">
          <cell r="T21">
            <v>274.39999999999998</v>
          </cell>
        </row>
        <row r="23">
          <cell r="T23">
            <v>48.76</v>
          </cell>
        </row>
        <row r="24">
          <cell r="T24">
            <v>215.1</v>
          </cell>
        </row>
        <row r="25">
          <cell r="T25">
            <v>122.15</v>
          </cell>
        </row>
        <row r="29">
          <cell r="T29">
            <v>366.63</v>
          </cell>
        </row>
        <row r="30">
          <cell r="T30">
            <v>98.06</v>
          </cell>
        </row>
        <row r="31">
          <cell r="T31">
            <v>161.47999999999999</v>
          </cell>
        </row>
        <row r="34">
          <cell r="T34">
            <v>179.49</v>
          </cell>
        </row>
        <row r="35">
          <cell r="T35">
            <v>132.4</v>
          </cell>
        </row>
        <row r="37">
          <cell r="T37">
            <v>23.31</v>
          </cell>
        </row>
        <row r="38">
          <cell r="T38">
            <v>24.94</v>
          </cell>
        </row>
        <row r="40">
          <cell r="T40">
            <v>185.89</v>
          </cell>
        </row>
        <row r="41">
          <cell r="T41">
            <v>52.61</v>
          </cell>
        </row>
        <row r="42">
          <cell r="T42">
            <v>1441.69</v>
          </cell>
        </row>
      </sheetData>
      <sheetData sheetId="10">
        <row r="7">
          <cell r="T7">
            <v>382.51</v>
          </cell>
        </row>
        <row r="8">
          <cell r="T8">
            <v>24.62</v>
          </cell>
        </row>
        <row r="10">
          <cell r="T10">
            <v>56.38</v>
          </cell>
        </row>
        <row r="12">
          <cell r="T12">
            <v>67.19</v>
          </cell>
        </row>
        <row r="14">
          <cell r="T14">
            <v>601.20000000000005</v>
          </cell>
        </row>
        <row r="15">
          <cell r="T15">
            <v>863</v>
          </cell>
        </row>
        <row r="16">
          <cell r="T16">
            <v>486.18</v>
          </cell>
        </row>
        <row r="17">
          <cell r="T17">
            <v>144</v>
          </cell>
        </row>
        <row r="18">
          <cell r="T18">
            <v>49.62</v>
          </cell>
        </row>
        <row r="19">
          <cell r="T19">
            <v>188.65</v>
          </cell>
        </row>
        <row r="21">
          <cell r="T21">
            <v>53.49</v>
          </cell>
        </row>
        <row r="22">
          <cell r="T22">
            <v>160.13</v>
          </cell>
        </row>
        <row r="23">
          <cell r="T23">
            <v>135.02000000000001</v>
          </cell>
        </row>
        <row r="27">
          <cell r="T27">
            <v>403.83</v>
          </cell>
        </row>
        <row r="28">
          <cell r="T28">
            <v>75.16</v>
          </cell>
        </row>
        <row r="29">
          <cell r="T29">
            <v>161.47999999999999</v>
          </cell>
        </row>
        <row r="32">
          <cell r="T32">
            <v>194.4</v>
          </cell>
        </row>
        <row r="33">
          <cell r="T33">
            <v>101.47</v>
          </cell>
        </row>
        <row r="35">
          <cell r="T35">
            <v>25.25</v>
          </cell>
        </row>
        <row r="36">
          <cell r="T36">
            <v>19.11</v>
          </cell>
        </row>
        <row r="38">
          <cell r="T38">
            <v>192.72</v>
          </cell>
        </row>
        <row r="39">
          <cell r="T39">
            <v>57.32</v>
          </cell>
        </row>
        <row r="40">
          <cell r="T40">
            <v>1441.69</v>
          </cell>
        </row>
      </sheetData>
      <sheetData sheetId="11">
        <row r="6">
          <cell r="T6">
            <v>361.27</v>
          </cell>
        </row>
        <row r="7">
          <cell r="T7">
            <v>26.89</v>
          </cell>
        </row>
        <row r="9">
          <cell r="T9">
            <v>38.880000000000003</v>
          </cell>
        </row>
        <row r="11">
          <cell r="T11">
            <v>74.97</v>
          </cell>
        </row>
        <row r="13">
          <cell r="T13">
            <v>495</v>
          </cell>
        </row>
        <row r="14">
          <cell r="T14">
            <v>1339</v>
          </cell>
        </row>
        <row r="15">
          <cell r="T15">
            <v>468.06</v>
          </cell>
        </row>
        <row r="17">
          <cell r="T17">
            <v>56.08</v>
          </cell>
        </row>
        <row r="18">
          <cell r="T18">
            <v>164.64</v>
          </cell>
        </row>
        <row r="20">
          <cell r="T20">
            <v>57.2</v>
          </cell>
        </row>
        <row r="21">
          <cell r="T21">
            <v>280.41000000000003</v>
          </cell>
        </row>
        <row r="22">
          <cell r="T22">
            <v>114.43</v>
          </cell>
        </row>
        <row r="26">
          <cell r="T26">
            <v>448.72</v>
          </cell>
        </row>
        <row r="27">
          <cell r="T27">
            <v>51.84</v>
          </cell>
        </row>
        <row r="28">
          <cell r="T28">
            <v>161.47999999999999</v>
          </cell>
        </row>
        <row r="31">
          <cell r="T31">
            <v>222.95</v>
          </cell>
        </row>
        <row r="32">
          <cell r="T32">
            <v>69.98</v>
          </cell>
        </row>
        <row r="34">
          <cell r="T34">
            <v>28.96</v>
          </cell>
        </row>
        <row r="35">
          <cell r="T35">
            <v>13.19</v>
          </cell>
        </row>
        <row r="37">
          <cell r="T37">
            <v>208.61</v>
          </cell>
        </row>
        <row r="38">
          <cell r="T38">
            <v>63.67</v>
          </cell>
        </row>
        <row r="39">
          <cell r="T39">
            <v>1441.69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40"/>
  <sheetViews>
    <sheetView showGridLines="0" tabSelected="1" topLeftCell="A4" zoomScale="85" zoomScaleNormal="85" workbookViewId="0">
      <selection activeCell="A39" sqref="A39"/>
    </sheetView>
  </sheetViews>
  <sheetFormatPr defaultRowHeight="12.75" x14ac:dyDescent="0.2"/>
  <cols>
    <col min="1" max="1" width="7.5703125" style="1" customWidth="1"/>
    <col min="2" max="2" width="45.7109375" style="1" customWidth="1"/>
    <col min="3" max="3" width="14.5703125" style="1" customWidth="1"/>
    <col min="4" max="4" width="13.42578125" style="1" customWidth="1"/>
    <col min="5" max="5" width="16.28515625" style="1" customWidth="1"/>
    <col min="6" max="16384" width="9.140625" style="1"/>
  </cols>
  <sheetData>
    <row r="2" spans="1:15" x14ac:dyDescent="0.2">
      <c r="B2" s="2" t="s">
        <v>0</v>
      </c>
    </row>
    <row r="3" spans="1:15" x14ac:dyDescent="0.2">
      <c r="B3" s="2" t="s">
        <v>1</v>
      </c>
    </row>
    <row r="4" spans="1:15" ht="12.75" customHeight="1" x14ac:dyDescent="0.2">
      <c r="B4" s="2"/>
    </row>
    <row r="5" spans="1:15" x14ac:dyDescent="0.2">
      <c r="B5" s="2"/>
      <c r="F5" s="2"/>
    </row>
    <row r="6" spans="1:15" x14ac:dyDescent="0.2">
      <c r="A6" s="62" t="s">
        <v>2</v>
      </c>
      <c r="B6" s="62"/>
      <c r="C6" s="62"/>
      <c r="D6" s="62"/>
      <c r="E6" s="62"/>
      <c r="F6" s="2"/>
    </row>
    <row r="8" spans="1:15" ht="18" customHeight="1" x14ac:dyDescent="0.25">
      <c r="A8" s="63" t="s">
        <v>3</v>
      </c>
      <c r="B8" s="63"/>
      <c r="C8" s="3" t="str">
        <f>IF(VLOOKUP(produto!$A$1,produto!$A$2:$F$10,6,0)=0,"",VLOOKUP(produto!$A$1,produto!$A$2:$F$10,6,0))</f>
        <v>SPD</v>
      </c>
    </row>
    <row r="10" spans="1:15" ht="12.75" customHeight="1" x14ac:dyDescent="0.2">
      <c r="A10" s="63" t="s">
        <v>4</v>
      </c>
      <c r="B10" s="63"/>
    </row>
    <row r="11" spans="1:15" ht="22.5" customHeight="1" x14ac:dyDescent="0.25">
      <c r="B11" s="64" t="s">
        <v>5</v>
      </c>
      <c r="C11" s="64"/>
      <c r="D11" s="3">
        <f>VLOOKUP(produto!$A$1,produto!$A$2:$C$10,3,0)</f>
        <v>55</v>
      </c>
      <c r="E11" s="4" t="str">
        <f>VLOOKUP(produto!$A$1,produto!$A$2:$D$10,4,0)</f>
        <v xml:space="preserve">SC 60kg/ha </v>
      </c>
    </row>
    <row r="12" spans="1:15" ht="9" customHeight="1" thickBot="1" x14ac:dyDescent="0.25"/>
    <row r="13" spans="1:15" ht="29.25" thickBot="1" x14ac:dyDescent="0.25">
      <c r="A13" s="65" t="s">
        <v>6</v>
      </c>
      <c r="B13" s="65"/>
      <c r="C13" s="5" t="s">
        <v>7</v>
      </c>
      <c r="D13" s="5" t="str">
        <f>VLOOKUP(produto!$A$1,produto!$A$2:$E$10,5,0)</f>
        <v>R$/60kg</v>
      </c>
      <c r="E13" s="6" t="s">
        <v>8</v>
      </c>
      <c r="O13" s="7"/>
    </row>
    <row r="14" spans="1:15" ht="15" x14ac:dyDescent="0.2">
      <c r="A14" s="8" t="s">
        <v>9</v>
      </c>
      <c r="B14" s="9" t="s">
        <v>10</v>
      </c>
      <c r="C14" s="10">
        <f>IF(VLOOKUP(produto!$A$1&amp;resumo!B14,so_a_base!$A$6:$G$176,7,0)="-","-",VLOOKUP(produto!$A$1&amp;resumo!B14,so_a_base!$A$6:$G$176,7,0))</f>
        <v>407.13</v>
      </c>
      <c r="D14" s="10">
        <f>IF(ISERROR(C14/$D$11),"-",ROUND(C14/$D$11,2))</f>
        <v>7.4</v>
      </c>
      <c r="E14" s="10">
        <f t="shared" ref="E14:E24" si="0">IF(ISERROR((C14/$C$38)*100),"-",((C14/$C$38)*100))</f>
        <v>6.9187787411503594</v>
      </c>
      <c r="F14" s="11"/>
      <c r="G14" s="11"/>
      <c r="H14" s="11"/>
      <c r="I14" s="11"/>
      <c r="O14" s="7"/>
    </row>
    <row r="15" spans="1:15" ht="15" x14ac:dyDescent="0.2">
      <c r="A15" s="8" t="s">
        <v>11</v>
      </c>
      <c r="B15" s="12" t="s">
        <v>12</v>
      </c>
      <c r="C15" s="10">
        <f>IF(VLOOKUP(produto!$A$1&amp;resumo!B15,so_a_base!$A$6:$G$176,7,0)="-","-",VLOOKUP(produto!$A$1&amp;resumo!B15,so_a_base!$A$6:$G$176,7,0))</f>
        <v>56.38</v>
      </c>
      <c r="D15" s="10">
        <f t="shared" ref="D15:D24" si="1">IF(ISERROR(C15/$D$11),"-",ROUND(C15/$D$11,2))</f>
        <v>1.03</v>
      </c>
      <c r="E15" s="10">
        <f t="shared" si="0"/>
        <v>0.95812331546694485</v>
      </c>
      <c r="O15" s="7"/>
    </row>
    <row r="16" spans="1:15" ht="15" x14ac:dyDescent="0.2">
      <c r="A16" s="8" t="s">
        <v>13</v>
      </c>
      <c r="B16" s="12" t="s">
        <v>14</v>
      </c>
      <c r="C16" s="10">
        <f>IF(VLOOKUP(produto!$A$1&amp;resumo!B16,so_a_base!$A$6:$G$176,7,0)="-","-",VLOOKUP(produto!$A$1&amp;resumo!B16,so_a_base!$A$6:$G$176,7,0))</f>
        <v>67.19</v>
      </c>
      <c r="D16" s="10">
        <f t="shared" si="1"/>
        <v>1.22</v>
      </c>
      <c r="E16" s="10">
        <f t="shared" si="0"/>
        <v>1.1418287613732534</v>
      </c>
      <c r="O16" s="7"/>
    </row>
    <row r="17" spans="1:15" ht="15" x14ac:dyDescent="0.2">
      <c r="A17" s="8" t="s">
        <v>15</v>
      </c>
      <c r="B17" s="12" t="s">
        <v>16</v>
      </c>
      <c r="C17" s="10">
        <f>IF(VLOOKUP(produto!$A$1&amp;resumo!B17,so_a_base!$A$6:$G$176,7,0)="-","-",VLOOKUP(produto!$A$1&amp;resumo!B17,so_a_base!$A$6:$G$176,7,0))</f>
        <v>745.2</v>
      </c>
      <c r="D17" s="10">
        <f t="shared" si="1"/>
        <v>13.55</v>
      </c>
      <c r="E17" s="10">
        <f t="shared" si="0"/>
        <v>12.663949888009354</v>
      </c>
      <c r="O17" s="7"/>
    </row>
    <row r="18" spans="1:15" ht="15" x14ac:dyDescent="0.2">
      <c r="A18" s="8" t="s">
        <v>17</v>
      </c>
      <c r="B18" s="12" t="s">
        <v>18</v>
      </c>
      <c r="C18" s="10">
        <f>IF(VLOOKUP(produto!$A$1&amp;resumo!B18,so_a_base!$A$6:$G$176,7,0)="-","-",VLOOKUP(produto!$A$1&amp;resumo!B18,so_a_base!$A$6:$G$176,7,0))</f>
        <v>863</v>
      </c>
      <c r="D18" s="10">
        <f t="shared" si="1"/>
        <v>15.69</v>
      </c>
      <c r="E18" s="10">
        <f t="shared" si="0"/>
        <v>14.66584642156746</v>
      </c>
      <c r="O18" s="7"/>
    </row>
    <row r="19" spans="1:15" ht="15" x14ac:dyDescent="0.2">
      <c r="A19" s="8" t="s">
        <v>19</v>
      </c>
      <c r="B19" s="12" t="s">
        <v>20</v>
      </c>
      <c r="C19" s="10">
        <f>IF(VLOOKUP(produto!$A$1&amp;resumo!B19,so_a_base!$A$6:$G$176,7,0)="-","-",VLOOKUP(produto!$A$1&amp;resumo!B19,so_a_base!$A$6:$G$176,7,0))</f>
        <v>486.18</v>
      </c>
      <c r="D19" s="10">
        <f t="shared" si="1"/>
        <v>8.84</v>
      </c>
      <c r="E19" s="10">
        <f t="shared" si="0"/>
        <v>8.2621566781433007</v>
      </c>
      <c r="O19" s="7"/>
    </row>
    <row r="20" spans="1:15" ht="15" x14ac:dyDescent="0.2">
      <c r="A20" s="8" t="s">
        <v>21</v>
      </c>
      <c r="B20" s="12" t="s">
        <v>22</v>
      </c>
      <c r="C20" s="10">
        <f>IF(VLOOKUP(produto!$A$1&amp;resumo!B20,so_a_base!$A$6:$G$176,7,0)="-","-",VLOOKUP(produto!$A$1&amp;resumo!B20,so_a_base!$A$6:$G$176,7,0))</f>
        <v>49.62</v>
      </c>
      <c r="D20" s="10">
        <f t="shared" si="1"/>
        <v>0.9</v>
      </c>
      <c r="E20" s="10">
        <f t="shared" si="0"/>
        <v>0.84324368416938289</v>
      </c>
      <c r="O20" s="7"/>
    </row>
    <row r="21" spans="1:15" ht="15" x14ac:dyDescent="0.2">
      <c r="A21" s="8" t="s">
        <v>23</v>
      </c>
      <c r="B21" s="9" t="s">
        <v>24</v>
      </c>
      <c r="C21" s="10">
        <f>IF(VLOOKUP(produto!$A$1&amp;resumo!B21,so_a_base!$A$6:$G$176,7,0)="-","-",VLOOKUP(produto!$A$1&amp;resumo!B21,so_a_base!$A$6:$G$176,7,0))</f>
        <v>188.65</v>
      </c>
      <c r="D21" s="10">
        <f t="shared" si="1"/>
        <v>3.43</v>
      </c>
      <c r="E21" s="10">
        <f t="shared" si="0"/>
        <v>3.2059234385037096</v>
      </c>
      <c r="O21" s="7"/>
    </row>
    <row r="22" spans="1:15" ht="15" x14ac:dyDescent="0.2">
      <c r="A22" s="8" t="s">
        <v>25</v>
      </c>
      <c r="B22" s="12" t="s">
        <v>26</v>
      </c>
      <c r="C22" s="10">
        <f>IF(VLOOKUP(produto!$A$1&amp;resumo!B22,so_a_base!$A$6:$G$176,7,0)="-","-",VLOOKUP(produto!$A$1&amp;resumo!B22,so_a_base!$A$6:$G$176,7,0))</f>
        <v>53.49</v>
      </c>
      <c r="D22" s="10">
        <f t="shared" si="1"/>
        <v>0.97</v>
      </c>
      <c r="E22" s="10">
        <f t="shared" si="0"/>
        <v>0.9090105736844073</v>
      </c>
      <c r="O22" s="7"/>
    </row>
    <row r="23" spans="1:15" ht="15" x14ac:dyDescent="0.2">
      <c r="A23" s="8" t="s">
        <v>27</v>
      </c>
      <c r="B23" s="12" t="s">
        <v>28</v>
      </c>
      <c r="C23" s="10">
        <f>IF(VLOOKUP(produto!$A$1&amp;resumo!B23,so_a_base!$A$6:$G$176,7,0)="-","-",VLOOKUP(produto!$A$1&amp;resumo!B23,so_a_base!$A$6:$G$176,7,0))</f>
        <v>160.13</v>
      </c>
      <c r="D23" s="10">
        <f t="shared" si="1"/>
        <v>2.91</v>
      </c>
      <c r="E23" s="10">
        <f t="shared" si="0"/>
        <v>2.721253751431747</v>
      </c>
      <c r="O23" s="7"/>
    </row>
    <row r="24" spans="1:15" ht="15.75" thickBot="1" x14ac:dyDescent="0.25">
      <c r="A24" s="8" t="s">
        <v>29</v>
      </c>
      <c r="B24" s="12" t="s">
        <v>30</v>
      </c>
      <c r="C24" s="10">
        <f>IF(VLOOKUP(produto!$A$1&amp;resumo!B24,so_a_base!$A$6:$G$176,7,0)="-","-",VLOOKUP(produto!$A$1&amp;resumo!B24,so_a_base!$A$6:$G$176,7,0))</f>
        <v>135.02000000000001</v>
      </c>
      <c r="D24" s="10">
        <f t="shared" si="1"/>
        <v>2.4500000000000002</v>
      </c>
      <c r="E24" s="10">
        <f t="shared" si="0"/>
        <v>2.2945337008575191</v>
      </c>
      <c r="O24" s="7"/>
    </row>
    <row r="25" spans="1:15" ht="16.5" thickBot="1" x14ac:dyDescent="0.3">
      <c r="A25" s="13"/>
      <c r="B25" s="14" t="s">
        <v>31</v>
      </c>
      <c r="C25" s="15">
        <f>SUM(C14:C24)</f>
        <v>3211.99</v>
      </c>
      <c r="D25" s="15">
        <f>SUM(D14:D24)</f>
        <v>58.39</v>
      </c>
      <c r="E25" s="15">
        <f>SUM(E14:E24)</f>
        <v>54.584648954357434</v>
      </c>
      <c r="H25" s="61"/>
      <c r="I25" s="61"/>
      <c r="O25" s="7"/>
    </row>
    <row r="26" spans="1:15" ht="15" x14ac:dyDescent="0.2">
      <c r="A26" s="8" t="s">
        <v>9</v>
      </c>
      <c r="B26" s="12" t="s">
        <v>32</v>
      </c>
      <c r="C26" s="10">
        <f>IF(VLOOKUP(produto!$A$1&amp;resumo!B26,so_a_base!$A$6:$G$176,7,0)="-","-",VLOOKUP(produto!$A$1&amp;resumo!B26,so_a_base!$A$6:$G$176,7,0))</f>
        <v>403.83</v>
      </c>
      <c r="D26" s="10">
        <f t="shared" ref="D26:D31" si="2">IF(ISERROR(C26/$D$11),"-",ROUND(C26/$D$11,2))</f>
        <v>7.34</v>
      </c>
      <c r="E26" s="10">
        <f t="shared" ref="E26:E31" si="3">IF(ISERROR((C26/$C$38)*100),"-",((C26/$C$38)*100))</f>
        <v>6.862698447765454</v>
      </c>
      <c r="O26" s="7"/>
    </row>
    <row r="27" spans="1:15" ht="15" x14ac:dyDescent="0.2">
      <c r="A27" s="8" t="s">
        <v>11</v>
      </c>
      <c r="B27" s="12" t="s">
        <v>33</v>
      </c>
      <c r="C27" s="10">
        <f>IF(VLOOKUP(produto!$A$1&amp;resumo!B27,so_a_base!$A$6:$G$176,7,0)="-","-",VLOOKUP(produto!$A$1&amp;resumo!B27,so_a_base!$A$6:$G$176,7,0))</f>
        <v>75.16</v>
      </c>
      <c r="D27" s="10">
        <f t="shared" si="2"/>
        <v>1.37</v>
      </c>
      <c r="E27" s="10">
        <f t="shared" si="3"/>
        <v>1.277271166911947</v>
      </c>
      <c r="O27" s="7"/>
    </row>
    <row r="28" spans="1:15" ht="15" x14ac:dyDescent="0.2">
      <c r="A28" s="8" t="s">
        <v>13</v>
      </c>
      <c r="B28" s="12" t="s">
        <v>34</v>
      </c>
      <c r="C28" s="10">
        <f>IF(VLOOKUP(produto!$A$1&amp;resumo!B28,so_a_base!$A$6:$G$176,7,0)="-","-",VLOOKUP(produto!$A$1&amp;resumo!B28,so_a_base!$A$6:$G$176,7,0))</f>
        <v>161.47999999999999</v>
      </c>
      <c r="D28" s="10">
        <f t="shared" si="2"/>
        <v>2.94</v>
      </c>
      <c r="E28" s="10">
        <f t="shared" si="3"/>
        <v>2.7441956896346622</v>
      </c>
      <c r="O28" s="7"/>
    </row>
    <row r="29" spans="1:15" ht="15" x14ac:dyDescent="0.2">
      <c r="A29" s="8" t="s">
        <v>15</v>
      </c>
      <c r="B29" s="12" t="s">
        <v>35</v>
      </c>
      <c r="C29" s="10" t="str">
        <f>IF(VLOOKUP(produto!$A$1&amp;resumo!B29,so_a_base!$A$6:$G$176,7,0)="-","-",VLOOKUP(produto!$A$1&amp;resumo!B29,so_a_base!$A$6:$G$176,7,0))</f>
        <v>-</v>
      </c>
      <c r="D29" s="10" t="str">
        <f t="shared" si="2"/>
        <v>-</v>
      </c>
      <c r="E29" s="10" t="str">
        <f t="shared" si="3"/>
        <v>-</v>
      </c>
      <c r="O29" s="7"/>
    </row>
    <row r="30" spans="1:15" ht="15" x14ac:dyDescent="0.2">
      <c r="A30" s="8" t="s">
        <v>17</v>
      </c>
      <c r="B30" s="12" t="s">
        <v>36</v>
      </c>
      <c r="C30" s="10">
        <f>IF(VLOOKUP(produto!$A$1&amp;resumo!B30,so_a_base!$A$6:$G$176,7,0)="-","-",VLOOKUP(produto!$A$1&amp;resumo!B30,so_a_base!$A$6:$G$176,7,0))</f>
        <v>44.36</v>
      </c>
      <c r="D30" s="10">
        <f t="shared" si="2"/>
        <v>0.81</v>
      </c>
      <c r="E30" s="10">
        <f t="shared" si="3"/>
        <v>0.75385509531950468</v>
      </c>
    </row>
    <row r="31" spans="1:15" ht="15.75" thickBot="1" x14ac:dyDescent="0.25">
      <c r="A31" s="8" t="s">
        <v>19</v>
      </c>
      <c r="B31" s="9" t="s">
        <v>37</v>
      </c>
      <c r="C31" s="10">
        <f>IF(VLOOKUP(produto!$A$1&amp;resumo!B31,so_a_base!$A$6:$G$176,7,0)="-","-",VLOOKUP(produto!$A$1&amp;resumo!B31,so_a_base!$A$6:$G$176,7,0))</f>
        <v>250.04</v>
      </c>
      <c r="D31" s="10">
        <f t="shared" si="2"/>
        <v>4.55</v>
      </c>
      <c r="E31" s="10">
        <f t="shared" si="3"/>
        <v>4.2491868357459186</v>
      </c>
      <c r="G31" s="16"/>
      <c r="H31" s="16"/>
    </row>
    <row r="32" spans="1:15" ht="15.75" thickBot="1" x14ac:dyDescent="0.25">
      <c r="A32" s="13"/>
      <c r="B32" s="14" t="s">
        <v>38</v>
      </c>
      <c r="C32" s="15">
        <f>SUM(C26:C31)</f>
        <v>934.87</v>
      </c>
      <c r="D32" s="15">
        <f>SUM(D26:D31)</f>
        <v>17.010000000000002</v>
      </c>
      <c r="E32" s="15">
        <f>SUM(E26:E31)</f>
        <v>15.887207235377486</v>
      </c>
      <c r="G32" s="16"/>
      <c r="H32" s="16"/>
    </row>
    <row r="33" spans="1:5" ht="15" x14ac:dyDescent="0.2">
      <c r="A33" s="8" t="s">
        <v>21</v>
      </c>
      <c r="B33" s="12" t="s">
        <v>39</v>
      </c>
      <c r="C33" s="10">
        <f>IF(VLOOKUP(produto!$A$1&amp;resumo!B33,so_a_base!$A$6:$G$176,7,0)="-","-",VLOOKUP(produto!$A$1&amp;resumo!B33,so_a_base!$A$6:$G$176,7,0))</f>
        <v>295.87</v>
      </c>
      <c r="D33" s="10">
        <f>IF(ISERROR(C33/$D$11),"-",ROUND(C33/$D$11,2))</f>
        <v>5.38</v>
      </c>
      <c r="E33" s="10">
        <f>IF(ISERROR((C33/$C$38)*100),"-",((C33/$C$38)*100))</f>
        <v>5.0280231526641535</v>
      </c>
    </row>
    <row r="34" spans="1:5" ht="15.75" thickBot="1" x14ac:dyDescent="0.25">
      <c r="A34" s="8" t="s">
        <v>23</v>
      </c>
      <c r="B34" s="12" t="s">
        <v>40</v>
      </c>
      <c r="C34" s="10">
        <f>IF(VLOOKUP(produto!$A$1&amp;resumo!B34,so_a_base!$A$6:$G$176,7,0)="-","-",VLOOKUP(produto!$A$1&amp;resumo!B34,so_a_base!$A$6:$G$176,7,0))</f>
        <v>1441.69</v>
      </c>
      <c r="D34" s="10">
        <f>IF(ISERROR(C34/$D$11),"-",ROUND(C34/$D$11,2))</f>
        <v>26.21</v>
      </c>
      <c r="E34" s="10">
        <f>IF(ISERROR((C34/$C$38)*100),"-",((C34/$C$38)*100))</f>
        <v>24.500120657600917</v>
      </c>
    </row>
    <row r="35" spans="1:5" ht="15.75" thickBot="1" x14ac:dyDescent="0.25">
      <c r="A35" s="13"/>
      <c r="B35" s="17" t="s">
        <v>41</v>
      </c>
      <c r="C35" s="15">
        <f>SUM(C33:C34)</f>
        <v>1737.56</v>
      </c>
      <c r="D35" s="15">
        <f>SUM(D33:D34)</f>
        <v>31.59</v>
      </c>
      <c r="E35" s="15">
        <f>SUM(E33:E34)</f>
        <v>29.528143810265071</v>
      </c>
    </row>
    <row r="36" spans="1:5" ht="15" x14ac:dyDescent="0.2">
      <c r="A36" s="18"/>
      <c r="B36" s="9" t="s">
        <v>42</v>
      </c>
      <c r="C36" s="10">
        <f>C32+C35</f>
        <v>2672.43</v>
      </c>
      <c r="D36" s="10">
        <f>D32+D35</f>
        <v>48.6</v>
      </c>
      <c r="E36" s="10">
        <f>E32+E35</f>
        <v>45.415351045642559</v>
      </c>
    </row>
    <row r="37" spans="1:5" ht="15.75" thickBot="1" x14ac:dyDescent="0.25">
      <c r="A37" s="18"/>
      <c r="B37" s="12" t="s">
        <v>43</v>
      </c>
      <c r="C37" s="10">
        <f>C25+C32</f>
        <v>4146.8599999999997</v>
      </c>
      <c r="D37" s="10">
        <f>D25+D32</f>
        <v>75.400000000000006</v>
      </c>
      <c r="E37" s="10">
        <f>E25+E32</f>
        <v>70.471856189734922</v>
      </c>
    </row>
    <row r="38" spans="1:5" ht="15.75" thickBot="1" x14ac:dyDescent="0.25">
      <c r="A38" s="13"/>
      <c r="B38" s="17" t="s">
        <v>44</v>
      </c>
      <c r="C38" s="15">
        <f>C25+C32+C35</f>
        <v>5884.42</v>
      </c>
      <c r="D38" s="15">
        <f>D25+D32+D35</f>
        <v>106.99000000000001</v>
      </c>
      <c r="E38" s="15">
        <f>E25+E32+E35</f>
        <v>100</v>
      </c>
    </row>
    <row r="39" spans="1:5" x14ac:dyDescent="0.2">
      <c r="A39" s="19" t="s">
        <v>45</v>
      </c>
      <c r="B39" s="19"/>
      <c r="C39" s="20"/>
      <c r="D39" s="20"/>
      <c r="E39" s="20"/>
    </row>
    <row r="40" spans="1:5" x14ac:dyDescent="0.2">
      <c r="A40" s="1" t="s">
        <v>46</v>
      </c>
    </row>
  </sheetData>
  <sheetProtection selectLockedCells="1" selectUnlockedCells="1"/>
  <mergeCells count="6">
    <mergeCell ref="H25:I25"/>
    <mergeCell ref="A6:E6"/>
    <mergeCell ref="A8:B8"/>
    <mergeCell ref="A10:B10"/>
    <mergeCell ref="B11:C11"/>
    <mergeCell ref="A13:B13"/>
  </mergeCells>
  <conditionalFormatting sqref="B14:B28 C25:E25">
    <cfRule type="cellIs" dxfId="1" priority="2" stopIfTrue="1" operator="equal">
      <formula>0</formula>
    </cfRule>
  </conditionalFormatting>
  <pageMargins left="0.39374999999999999" right="0.39374999999999999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Lista suspensa 4">
              <controlPr defaultSize="0" autoFill="0" autoLine="0" autoPict="0">
                <anchor moveWithCells="1" sizeWithCells="1">
                  <from>
                    <xdr:col>1</xdr:col>
                    <xdr:colOff>400050</xdr:colOff>
                    <xdr:row>6</xdr:row>
                    <xdr:rowOff>104775</xdr:rowOff>
                  </from>
                  <to>
                    <xdr:col>1</xdr:col>
                    <xdr:colOff>2543175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Lista suspensa 5">
              <controlPr defaultSize="0" autoFill="0" autoLine="0" autoPict="0">
                <anchor moveWithCells="1" sizeWithCells="1">
                  <from>
                    <xdr:col>1</xdr:col>
                    <xdr:colOff>400050</xdr:colOff>
                    <xdr:row>8</xdr:row>
                    <xdr:rowOff>133350</xdr:rowOff>
                  </from>
                  <to>
                    <xdr:col>1</xdr:col>
                    <xdr:colOff>2543175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10" sqref="B10"/>
    </sheetView>
  </sheetViews>
  <sheetFormatPr defaultRowHeight="12.75" x14ac:dyDescent="0.2"/>
  <cols>
    <col min="1" max="1" width="16.140625" style="51" bestFit="1" customWidth="1"/>
    <col min="2" max="2" width="27.140625" style="51" bestFit="1" customWidth="1"/>
    <col min="3" max="3" width="11.42578125" style="51" bestFit="1" customWidth="1"/>
    <col min="4" max="4" width="9" style="51" bestFit="1" customWidth="1"/>
    <col min="5" max="5" width="12" style="51" bestFit="1" customWidth="1"/>
    <col min="6" max="6" width="8" style="51" bestFit="1" customWidth="1"/>
    <col min="7" max="16384" width="9.140625" style="51"/>
  </cols>
  <sheetData>
    <row r="1" spans="1:7" s="49" customFormat="1" x14ac:dyDescent="0.2"/>
    <row r="2" spans="1:7" s="49" customFormat="1" x14ac:dyDescent="0.2">
      <c r="A2" s="66" t="s">
        <v>85</v>
      </c>
      <c r="B2" s="66"/>
      <c r="C2" s="66"/>
      <c r="D2" s="66"/>
      <c r="E2" s="66"/>
      <c r="F2" s="66"/>
      <c r="G2" s="66"/>
    </row>
    <row r="3" spans="1:7" s="49" customFormat="1" x14ac:dyDescent="0.2">
      <c r="A3" s="66" t="s">
        <v>86</v>
      </c>
      <c r="B3" s="66"/>
      <c r="C3" s="66"/>
      <c r="D3" s="66"/>
      <c r="E3" s="66"/>
      <c r="F3" s="66"/>
      <c r="G3" s="66"/>
    </row>
    <row r="4" spans="1:7" s="49" customFormat="1" ht="12.75" customHeight="1" x14ac:dyDescent="0.2">
      <c r="B4" s="50"/>
    </row>
    <row r="5" spans="1:7" s="49" customFormat="1" x14ac:dyDescent="0.2">
      <c r="B5" s="50"/>
      <c r="F5" s="50"/>
    </row>
    <row r="6" spans="1:7" x14ac:dyDescent="0.2">
      <c r="A6" s="52" t="s">
        <v>83</v>
      </c>
    </row>
    <row r="8" spans="1:7" x14ac:dyDescent="0.2">
      <c r="A8" s="53" t="s">
        <v>35</v>
      </c>
      <c r="B8" s="60" t="s">
        <v>84</v>
      </c>
    </row>
    <row r="9" spans="1:7" x14ac:dyDescent="0.2">
      <c r="A9" s="54" t="s">
        <v>75</v>
      </c>
      <c r="B9" s="55">
        <v>25.8</v>
      </c>
    </row>
    <row r="10" spans="1:7" x14ac:dyDescent="0.2">
      <c r="A10" s="56" t="s">
        <v>76</v>
      </c>
      <c r="B10" s="57">
        <v>32.700000000000003</v>
      </c>
    </row>
    <row r="11" spans="1:7" x14ac:dyDescent="0.2">
      <c r="A11" s="56" t="s">
        <v>77</v>
      </c>
      <c r="B11" s="57">
        <v>113.71900826446281</v>
      </c>
    </row>
    <row r="12" spans="1:7" x14ac:dyDescent="0.2">
      <c r="A12" s="56" t="s">
        <v>78</v>
      </c>
      <c r="B12" s="57">
        <v>130.78512396694217</v>
      </c>
    </row>
    <row r="13" spans="1:7" x14ac:dyDescent="0.2">
      <c r="A13" s="56" t="s">
        <v>79</v>
      </c>
      <c r="B13" s="57">
        <v>42.247199999999999</v>
      </c>
    </row>
    <row r="14" spans="1:7" x14ac:dyDescent="0.2">
      <c r="A14" s="56" t="s">
        <v>80</v>
      </c>
      <c r="B14" s="57">
        <v>38.783999999999999</v>
      </c>
    </row>
    <row r="15" spans="1:7" x14ac:dyDescent="0.2">
      <c r="A15" s="56" t="s">
        <v>81</v>
      </c>
      <c r="B15" s="57">
        <v>38.889600000000002</v>
      </c>
    </row>
    <row r="16" spans="1:7" ht="13.5" thickBot="1" x14ac:dyDescent="0.25">
      <c r="A16" s="58" t="s">
        <v>82</v>
      </c>
      <c r="B16" s="59">
        <v>44.493600000000008</v>
      </c>
    </row>
    <row r="17" spans="1:1" x14ac:dyDescent="0.2">
      <c r="A17" s="19" t="s">
        <v>45</v>
      </c>
    </row>
  </sheetData>
  <mergeCells count="2">
    <mergeCell ref="A2:G2"/>
    <mergeCell ref="A3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6"/>
  <sheetViews>
    <sheetView showGridLines="0" topLeftCell="A70" workbookViewId="0">
      <selection activeCell="L6" sqref="L6:L176"/>
    </sheetView>
  </sheetViews>
  <sheetFormatPr defaultRowHeight="12.75" x14ac:dyDescent="0.2"/>
  <cols>
    <col min="1" max="1" width="38.42578125" style="21" customWidth="1"/>
    <col min="2" max="5" width="9.140625" style="21" customWidth="1"/>
    <col min="6" max="6" width="45.7109375" style="21" customWidth="1"/>
    <col min="7" max="7" width="8" style="21" customWidth="1"/>
    <col min="8" max="8" width="13.5703125" style="21" customWidth="1"/>
    <col min="9" max="9" width="13.85546875" style="21" customWidth="1"/>
    <col min="10" max="11" width="12.85546875" style="21" customWidth="1"/>
    <col min="12" max="12" width="14.28515625" style="22" customWidth="1"/>
    <col min="13" max="16384" width="9.140625" style="21"/>
  </cols>
  <sheetData>
    <row r="1" spans="1:30" x14ac:dyDescent="0.2">
      <c r="L1" s="21"/>
    </row>
    <row r="2" spans="1:30" ht="15" x14ac:dyDescent="0.2"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ht="15" x14ac:dyDescent="0.2"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</row>
    <row r="4" spans="1:30" ht="15" x14ac:dyDescent="0.2">
      <c r="H4" s="21">
        <v>1</v>
      </c>
      <c r="I4" s="21">
        <v>2</v>
      </c>
      <c r="J4" s="21">
        <v>3</v>
      </c>
      <c r="K4" s="21">
        <v>4</v>
      </c>
      <c r="L4" s="21">
        <v>5</v>
      </c>
      <c r="M4" s="25"/>
      <c r="N4" s="26"/>
      <c r="O4" s="26"/>
      <c r="P4" s="26"/>
      <c r="Q4" s="26"/>
      <c r="R4" s="26"/>
      <c r="S4" s="25"/>
      <c r="T4" s="26"/>
      <c r="U4" s="26"/>
      <c r="V4" s="26"/>
      <c r="W4" s="26"/>
      <c r="X4" s="26"/>
      <c r="Y4" s="26"/>
      <c r="Z4" s="26"/>
      <c r="AA4" s="26"/>
      <c r="AB4" s="25"/>
      <c r="AC4" s="26"/>
      <c r="AD4" s="26"/>
    </row>
    <row r="5" spans="1:30" x14ac:dyDescent="0.2">
      <c r="A5" s="21" t="s">
        <v>47</v>
      </c>
      <c r="B5" s="21" t="s">
        <v>48</v>
      </c>
      <c r="C5" s="21" t="s">
        <v>49</v>
      </c>
      <c r="D5" s="21" t="s">
        <v>50</v>
      </c>
      <c r="E5" s="21" t="s">
        <v>51</v>
      </c>
      <c r="F5" s="21" t="s">
        <v>52</v>
      </c>
      <c r="G5" s="21" t="s">
        <v>53</v>
      </c>
      <c r="H5" s="27">
        <v>45597</v>
      </c>
      <c r="I5" s="27">
        <v>45689</v>
      </c>
      <c r="J5" s="27">
        <v>45778</v>
      </c>
      <c r="K5" s="27">
        <v>45870</v>
      </c>
      <c r="L5" s="27">
        <v>45962</v>
      </c>
      <c r="M5" s="27"/>
    </row>
    <row r="6" spans="1:30" ht="15" x14ac:dyDescent="0.2">
      <c r="A6" s="21" t="str">
        <f t="shared" ref="A6:A176" si="0">B6&amp;F6</f>
        <v>1Operação de máquinas e implementos</v>
      </c>
      <c r="B6" s="21">
        <v>1</v>
      </c>
      <c r="C6" s="21">
        <v>1000</v>
      </c>
      <c r="D6" s="21" t="str">
        <f t="shared" ref="D6:D176" si="1">C6&amp;B6</f>
        <v>10001</v>
      </c>
      <c r="E6" s="21">
        <v>3</v>
      </c>
      <c r="F6" s="28" t="s">
        <v>10</v>
      </c>
      <c r="G6" s="29">
        <f>HLOOKUP(mes_ano!$A$1,$H$4:$P$176,E6,0)</f>
        <v>1221.1099999999999</v>
      </c>
      <c r="H6" s="30">
        <v>1218.26</v>
      </c>
      <c r="I6" s="30">
        <v>1291.99</v>
      </c>
      <c r="J6" s="30">
        <v>1242.8900000000001</v>
      </c>
      <c r="K6" s="43">
        <v>1215.22</v>
      </c>
      <c r="L6" s="43">
        <f>[1]CaféA!$U$8+[1]CaféA!$U$9</f>
        <v>1221.1099999999999</v>
      </c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ht="15" x14ac:dyDescent="0.2">
      <c r="A7" s="21" t="str">
        <f t="shared" si="0"/>
        <v>1Despesas de manutenção de benfeitorias</v>
      </c>
      <c r="B7" s="21">
        <v>1</v>
      </c>
      <c r="C7" s="21">
        <v>1000</v>
      </c>
      <c r="D7" s="21" t="str">
        <f t="shared" si="1"/>
        <v>10001</v>
      </c>
      <c r="E7" s="21">
        <v>4</v>
      </c>
      <c r="F7" s="32" t="s">
        <v>12</v>
      </c>
      <c r="G7" s="29">
        <f>HLOOKUP(mes_ano!$A$1,$H$4:$P$176,E7,0)</f>
        <v>125.93</v>
      </c>
      <c r="H7" s="30">
        <v>121.33</v>
      </c>
      <c r="I7" s="30">
        <v>123.19</v>
      </c>
      <c r="J7" s="30">
        <v>123.48</v>
      </c>
      <c r="K7" s="43">
        <v>124.96</v>
      </c>
      <c r="L7" s="43">
        <f>[1]CaféA!$U$11</f>
        <v>125.93</v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ht="15" x14ac:dyDescent="0.2">
      <c r="A8" s="21" t="str">
        <f t="shared" si="0"/>
        <v>1Mão-de-obra temporária</v>
      </c>
      <c r="B8" s="21">
        <v>1</v>
      </c>
      <c r="C8" s="21">
        <v>1000</v>
      </c>
      <c r="D8" s="21" t="str">
        <f t="shared" si="1"/>
        <v>10001</v>
      </c>
      <c r="E8" s="21">
        <v>5</v>
      </c>
      <c r="F8" s="32" t="s">
        <v>14</v>
      </c>
      <c r="G8" s="29">
        <f>HLOOKUP(mes_ano!$A$1,$H$4:$P$176,E8,0)</f>
        <v>20020.990000000002</v>
      </c>
      <c r="H8" s="30">
        <v>17783.12</v>
      </c>
      <c r="I8" s="30">
        <v>18577.47</v>
      </c>
      <c r="J8" s="30">
        <v>20459.27</v>
      </c>
      <c r="K8" s="43">
        <v>20276.259999999998</v>
      </c>
      <c r="L8" s="43">
        <f>[1]CaféA!$U$13</f>
        <v>20020.990000000002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 spans="1:30" ht="15" x14ac:dyDescent="0.2">
      <c r="A9" s="21" t="str">
        <f t="shared" si="0"/>
        <v>1Sementes/Manivas</v>
      </c>
      <c r="B9" s="21">
        <v>1</v>
      </c>
      <c r="C9" s="21">
        <v>1000</v>
      </c>
      <c r="D9" s="21" t="str">
        <f t="shared" si="1"/>
        <v>10001</v>
      </c>
      <c r="E9" s="21">
        <v>6</v>
      </c>
      <c r="F9" s="32" t="s">
        <v>16</v>
      </c>
      <c r="G9" s="29" t="str">
        <f>HLOOKUP(mes_ano!$A$1,$H$4:$P$176,E9,0)</f>
        <v>-</v>
      </c>
      <c r="H9" s="33" t="s">
        <v>54</v>
      </c>
      <c r="I9" s="33" t="s">
        <v>54</v>
      </c>
      <c r="J9" s="33" t="s">
        <v>54</v>
      </c>
      <c r="K9" s="44" t="s">
        <v>54</v>
      </c>
      <c r="L9" s="44" t="s">
        <v>54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0" ht="15" x14ac:dyDescent="0.2">
      <c r="A10" s="21" t="str">
        <f t="shared" si="0"/>
        <v>1Fertilizantes</v>
      </c>
      <c r="B10" s="21">
        <v>1</v>
      </c>
      <c r="C10" s="21">
        <v>1000</v>
      </c>
      <c r="D10" s="21" t="str">
        <f t="shared" si="1"/>
        <v>10001</v>
      </c>
      <c r="E10" s="21">
        <v>7</v>
      </c>
      <c r="F10" s="32" t="s">
        <v>18</v>
      </c>
      <c r="G10" s="29">
        <f>HLOOKUP(mes_ano!$A$1,$H$4:$P$176,E10,0)</f>
        <v>6375.1</v>
      </c>
      <c r="H10" s="30">
        <v>6193.7</v>
      </c>
      <c r="I10" s="30">
        <v>7249.15</v>
      </c>
      <c r="J10" s="30">
        <v>7638.7</v>
      </c>
      <c r="K10" s="43">
        <v>6623.3</v>
      </c>
      <c r="L10" s="43">
        <f>[1]CaféA!$U$16</f>
        <v>6375.1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 spans="1:30" ht="15" x14ac:dyDescent="0.2">
      <c r="A11" s="21" t="str">
        <f t="shared" si="0"/>
        <v>1Agrotóxicos</v>
      </c>
      <c r="B11" s="21">
        <v>1</v>
      </c>
      <c r="C11" s="21">
        <v>1000</v>
      </c>
      <c r="D11" s="21" t="str">
        <f t="shared" si="1"/>
        <v>10001</v>
      </c>
      <c r="E11" s="21">
        <v>8</v>
      </c>
      <c r="F11" s="32" t="s">
        <v>20</v>
      </c>
      <c r="G11" s="29">
        <f>HLOOKUP(mes_ano!$A$1,$H$4:$P$176,E11,0)</f>
        <v>3683.61</v>
      </c>
      <c r="H11" s="30">
        <v>3896.83</v>
      </c>
      <c r="I11" s="30">
        <v>3924.24</v>
      </c>
      <c r="J11" s="30">
        <v>3731.08</v>
      </c>
      <c r="K11" s="43">
        <v>3598.08</v>
      </c>
      <c r="L11" s="43">
        <f>[1]CaféA!$U$17</f>
        <v>3683.61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pans="1:30" ht="15" x14ac:dyDescent="0.2">
      <c r="A12" s="21" t="str">
        <f t="shared" si="0"/>
        <v>1Despesas gerais</v>
      </c>
      <c r="B12" s="21">
        <v>1</v>
      </c>
      <c r="C12" s="21">
        <v>1000</v>
      </c>
      <c r="D12" s="21" t="str">
        <f t="shared" si="1"/>
        <v>10001</v>
      </c>
      <c r="E12" s="21">
        <v>9</v>
      </c>
      <c r="F12" s="32" t="s">
        <v>22</v>
      </c>
      <c r="G12" s="29">
        <f>HLOOKUP(mes_ano!$A$1,$H$4:$P$176,E12,0)</f>
        <v>635.91</v>
      </c>
      <c r="H12" s="30">
        <v>591.17999999999995</v>
      </c>
      <c r="I12" s="30">
        <v>630.29</v>
      </c>
      <c r="J12" s="30">
        <v>671.09</v>
      </c>
      <c r="K12" s="43">
        <v>643.97</v>
      </c>
      <c r="L12" s="43">
        <f>[1]CaféA!$U$19</f>
        <v>635.91</v>
      </c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pans="1:30" ht="15" x14ac:dyDescent="0.2">
      <c r="A13" s="21" t="str">
        <f t="shared" si="0"/>
        <v>1Transporte externo</v>
      </c>
      <c r="B13" s="21">
        <v>1</v>
      </c>
      <c r="C13" s="21">
        <v>1000</v>
      </c>
      <c r="D13" s="21" t="str">
        <f t="shared" si="1"/>
        <v>10001</v>
      </c>
      <c r="E13" s="21">
        <v>10</v>
      </c>
      <c r="F13" s="28" t="s">
        <v>24</v>
      </c>
      <c r="G13" s="29">
        <f>HLOOKUP(mes_ano!$A$1,$H$4:$P$176,E13,0)</f>
        <v>411.6</v>
      </c>
      <c r="H13" s="30">
        <v>369.6</v>
      </c>
      <c r="I13" s="30">
        <v>392.4</v>
      </c>
      <c r="J13" s="30">
        <v>410.4</v>
      </c>
      <c r="K13" s="43">
        <v>411.6</v>
      </c>
      <c r="L13" s="43">
        <f>[1]CaféA!$U$20</f>
        <v>411.6</v>
      </c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1:30" ht="15" x14ac:dyDescent="0.2">
      <c r="A14" s="21" t="str">
        <f t="shared" si="0"/>
        <v>1Assistência técnica</v>
      </c>
      <c r="B14" s="21">
        <v>1</v>
      </c>
      <c r="C14" s="21">
        <v>1000</v>
      </c>
      <c r="D14" s="21" t="str">
        <f t="shared" si="1"/>
        <v>10001</v>
      </c>
      <c r="E14" s="21">
        <v>11</v>
      </c>
      <c r="F14" s="32" t="s">
        <v>26</v>
      </c>
      <c r="G14" s="29">
        <f>HLOOKUP(mes_ano!$A$1,$H$4:$P$176,E14,0)</f>
        <v>648.63</v>
      </c>
      <c r="H14" s="30">
        <v>603</v>
      </c>
      <c r="I14" s="30">
        <v>642.89</v>
      </c>
      <c r="J14" s="30">
        <v>684.51</v>
      </c>
      <c r="K14" s="43">
        <v>656.85</v>
      </c>
      <c r="L14" s="43">
        <f>[1]CaféA!$U$22</f>
        <v>648.63</v>
      </c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30" ht="15" x14ac:dyDescent="0.2">
      <c r="A15" s="21" t="str">
        <f t="shared" si="0"/>
        <v>1PROAGRO/SEGURO</v>
      </c>
      <c r="B15" s="21">
        <v>1</v>
      </c>
      <c r="C15" s="21">
        <v>1000</v>
      </c>
      <c r="D15" s="21" t="str">
        <f t="shared" si="1"/>
        <v>10001</v>
      </c>
      <c r="E15" s="21">
        <v>12</v>
      </c>
      <c r="F15" s="32" t="s">
        <v>28</v>
      </c>
      <c r="G15" s="29">
        <f>HLOOKUP(mes_ano!$A$1,$H$4:$P$176,E15,0)</f>
        <v>1852.71</v>
      </c>
      <c r="H15" s="30">
        <v>1717.47</v>
      </c>
      <c r="I15" s="30">
        <v>1832.58</v>
      </c>
      <c r="J15" s="30">
        <v>1957.76</v>
      </c>
      <c r="K15" s="43">
        <v>1877.56</v>
      </c>
      <c r="L15" s="43">
        <f>[1]CaféA!$U$23</f>
        <v>1852.71</v>
      </c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ht="15" x14ac:dyDescent="0.2">
      <c r="A16" s="21" t="str">
        <f t="shared" si="0"/>
        <v>1Juros</v>
      </c>
      <c r="B16" s="21">
        <v>1</v>
      </c>
      <c r="C16" s="21">
        <v>1000</v>
      </c>
      <c r="D16" s="21" t="str">
        <f t="shared" si="1"/>
        <v>10001</v>
      </c>
      <c r="E16" s="21">
        <v>13</v>
      </c>
      <c r="F16" s="32" t="s">
        <v>30</v>
      </c>
      <c r="G16" s="29">
        <f>HLOOKUP(mes_ano!$A$1,$H$4:$P$176,E16,0)</f>
        <v>1501.32</v>
      </c>
      <c r="H16" s="30">
        <v>1426.63</v>
      </c>
      <c r="I16" s="30">
        <v>1535.98</v>
      </c>
      <c r="J16" s="30">
        <v>1603.16</v>
      </c>
      <c r="K16" s="43">
        <v>1514.69</v>
      </c>
      <c r="L16" s="43">
        <f>[1]CaféA!$U$24</f>
        <v>1501.32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pans="1:30" ht="15" x14ac:dyDescent="0.2">
      <c r="A17" s="21" t="str">
        <f t="shared" si="0"/>
        <v>1Depreciação de máquinas e implementos</v>
      </c>
      <c r="B17" s="21">
        <v>1</v>
      </c>
      <c r="C17" s="21">
        <v>0</v>
      </c>
      <c r="D17" s="21" t="str">
        <f t="shared" si="1"/>
        <v>01</v>
      </c>
      <c r="E17" s="21">
        <v>14</v>
      </c>
      <c r="F17" s="32" t="s">
        <v>32</v>
      </c>
      <c r="G17" s="29">
        <f>HLOOKUP(mes_ano!$A$1,$H$4:$P$176,E17,0)</f>
        <v>519.98</v>
      </c>
      <c r="H17" s="30">
        <v>512</v>
      </c>
      <c r="I17" s="30">
        <v>524.76</v>
      </c>
      <c r="J17" s="30">
        <v>527.87</v>
      </c>
      <c r="K17" s="43">
        <v>534.22</v>
      </c>
      <c r="L17" s="43">
        <f>[1]CaféA!$U$28</f>
        <v>519.98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 ht="15" x14ac:dyDescent="0.2">
      <c r="A18" s="21" t="str">
        <f t="shared" si="0"/>
        <v>1Depreciação de benfeitorias e instalações</v>
      </c>
      <c r="B18" s="21">
        <v>1</v>
      </c>
      <c r="C18" s="21">
        <v>0</v>
      </c>
      <c r="D18" s="21" t="str">
        <f t="shared" si="1"/>
        <v>01</v>
      </c>
      <c r="E18" s="21">
        <v>15</v>
      </c>
      <c r="F18" s="32" t="s">
        <v>33</v>
      </c>
      <c r="G18" s="29">
        <f>HLOOKUP(mes_ano!$A$1,$H$4:$P$176,E18,0)</f>
        <v>173.12</v>
      </c>
      <c r="H18" s="30">
        <v>166.98</v>
      </c>
      <c r="I18" s="30">
        <v>169.48</v>
      </c>
      <c r="J18" s="30">
        <v>169.85</v>
      </c>
      <c r="K18" s="43">
        <v>171.83</v>
      </c>
      <c r="L18" s="43">
        <f>[1]CaféA!$U$29</f>
        <v>173.12</v>
      </c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ht="15" x14ac:dyDescent="0.2">
      <c r="A19" s="21" t="str">
        <f t="shared" si="0"/>
        <v>1Sistematização e correção do solo</v>
      </c>
      <c r="B19" s="21">
        <v>1</v>
      </c>
      <c r="C19" s="21">
        <v>0</v>
      </c>
      <c r="D19" s="21" t="str">
        <f t="shared" si="1"/>
        <v>01</v>
      </c>
      <c r="E19" s="21">
        <v>16</v>
      </c>
      <c r="F19" s="32" t="s">
        <v>34</v>
      </c>
      <c r="G19" s="29">
        <f>HLOOKUP(mes_ano!$A$1,$H$4:$P$176,E19,0)</f>
        <v>762.19</v>
      </c>
      <c r="H19" s="30">
        <v>745.6</v>
      </c>
      <c r="I19" s="30">
        <v>759.68</v>
      </c>
      <c r="J19" s="30">
        <v>754.64</v>
      </c>
      <c r="K19" s="43">
        <v>733.21</v>
      </c>
      <c r="L19" s="43">
        <f>[1]CaféA!$U$30</f>
        <v>762.19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ht="15" x14ac:dyDescent="0.2">
      <c r="A20" s="21" t="str">
        <f t="shared" si="0"/>
        <v>1Cultura</v>
      </c>
      <c r="B20" s="21">
        <v>1</v>
      </c>
      <c r="C20" s="21">
        <v>0</v>
      </c>
      <c r="D20" s="21" t="str">
        <f t="shared" si="1"/>
        <v>01</v>
      </c>
      <c r="E20" s="21">
        <v>17</v>
      </c>
      <c r="F20" s="32" t="s">
        <v>35</v>
      </c>
      <c r="G20" s="29">
        <f>HLOOKUP(mes_ano!$A$1,$H$4:$P$176,E20,0)</f>
        <v>2971.16</v>
      </c>
      <c r="H20" s="30">
        <v>2810.11</v>
      </c>
      <c r="I20" s="30">
        <v>2632.12</v>
      </c>
      <c r="J20" s="30">
        <v>2793.49</v>
      </c>
      <c r="K20" s="43">
        <v>3031.56</v>
      </c>
      <c r="L20" s="43">
        <f>[1]CaféA!$U$31</f>
        <v>2971.16</v>
      </c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ht="15" x14ac:dyDescent="0.2">
      <c r="A21" s="21" t="str">
        <f t="shared" si="0"/>
        <v>1Seguro do capital</v>
      </c>
      <c r="B21" s="21">
        <v>1</v>
      </c>
      <c r="C21" s="21">
        <v>0</v>
      </c>
      <c r="D21" s="21" t="str">
        <f t="shared" si="1"/>
        <v>01</v>
      </c>
      <c r="E21" s="21">
        <v>18</v>
      </c>
      <c r="F21" s="32" t="s">
        <v>36</v>
      </c>
      <c r="G21" s="29">
        <f>HLOOKUP(mes_ano!$A$1,$H$4:$P$176,E21,0)</f>
        <v>79.900000000000006</v>
      </c>
      <c r="H21" s="30">
        <v>77.91</v>
      </c>
      <c r="I21" s="30">
        <v>79.19</v>
      </c>
      <c r="J21" s="30">
        <v>79.64</v>
      </c>
      <c r="K21" s="43">
        <v>80.41</v>
      </c>
      <c r="L21" s="43">
        <f>[1]CaféA!$U$36+[1]CaféA!$U$37</f>
        <v>79.900000000000006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ht="15" x14ac:dyDescent="0.2">
      <c r="A22" s="21" t="str">
        <f t="shared" si="0"/>
        <v>1Mão-de-obra permanente</v>
      </c>
      <c r="B22" s="21">
        <v>1</v>
      </c>
      <c r="C22" s="21">
        <v>0</v>
      </c>
      <c r="D22" s="21" t="str">
        <f t="shared" si="1"/>
        <v>01</v>
      </c>
      <c r="E22" s="21">
        <v>19</v>
      </c>
      <c r="F22" s="28" t="s">
        <v>37</v>
      </c>
      <c r="G22" s="29">
        <f>HLOOKUP(mes_ano!$A$1,$H$4:$P$176,E22,0)</f>
        <v>2557.21</v>
      </c>
      <c r="H22" s="30">
        <v>2380.91</v>
      </c>
      <c r="I22" s="30">
        <v>2520.29</v>
      </c>
      <c r="J22" s="30">
        <v>2670.19</v>
      </c>
      <c r="K22" s="43">
        <v>2577.0300000000002</v>
      </c>
      <c r="L22" s="43">
        <f>[1]CaféA!$U$39+[1]CaféA!$U$40</f>
        <v>2557.21</v>
      </c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ht="15" x14ac:dyDescent="0.2">
      <c r="A23" s="21" t="str">
        <f t="shared" si="0"/>
        <v>1Remuneração do Capital próprio</v>
      </c>
      <c r="B23" s="21">
        <v>1</v>
      </c>
      <c r="C23" s="21">
        <v>0</v>
      </c>
      <c r="D23" s="21" t="str">
        <f t="shared" si="1"/>
        <v>01</v>
      </c>
      <c r="E23" s="21">
        <v>20</v>
      </c>
      <c r="F23" s="32" t="s">
        <v>39</v>
      </c>
      <c r="G23" s="29">
        <f>HLOOKUP(mes_ano!$A$1,$H$4:$P$176,E23,0)</f>
        <v>495.62</v>
      </c>
      <c r="H23" s="30">
        <v>483.6</v>
      </c>
      <c r="I23" s="30">
        <v>492.62</v>
      </c>
      <c r="J23" s="30">
        <v>495.06</v>
      </c>
      <c r="K23" s="43">
        <v>500.19</v>
      </c>
      <c r="L23" s="43">
        <f>[1]CaféA!$U$33+[1]CaféA!$U$34</f>
        <v>495.62</v>
      </c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ht="15" x14ac:dyDescent="0.2">
      <c r="A24" s="21" t="str">
        <f t="shared" si="0"/>
        <v>1Remuneração da terra</v>
      </c>
      <c r="B24" s="21">
        <v>1</v>
      </c>
      <c r="C24" s="21">
        <v>0</v>
      </c>
      <c r="D24" s="21" t="str">
        <f t="shared" si="1"/>
        <v>01</v>
      </c>
      <c r="E24" s="21">
        <v>21</v>
      </c>
      <c r="F24" s="32" t="s">
        <v>40</v>
      </c>
      <c r="G24" s="29">
        <f>HLOOKUP(mes_ano!$A$1,$H$4:$P$176,E24,0)</f>
        <v>1441.69</v>
      </c>
      <c r="H24" s="30">
        <v>1378.66</v>
      </c>
      <c r="I24" s="30">
        <v>1404.95</v>
      </c>
      <c r="J24" s="30">
        <v>1453.92</v>
      </c>
      <c r="K24" s="43">
        <v>1452.49</v>
      </c>
      <c r="L24" s="43">
        <f>[1]CaféA!$U$41</f>
        <v>1441.69</v>
      </c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ht="15" x14ac:dyDescent="0.2">
      <c r="A25" s="21" t="str">
        <f t="shared" si="0"/>
        <v>2Operação de máquinas e implementos</v>
      </c>
      <c r="B25" s="21">
        <v>2</v>
      </c>
      <c r="C25" s="21">
        <v>1000</v>
      </c>
      <c r="D25" s="21" t="str">
        <f t="shared" si="1"/>
        <v>10002</v>
      </c>
      <c r="E25" s="21">
        <v>22</v>
      </c>
      <c r="F25" s="28" t="s">
        <v>10</v>
      </c>
      <c r="G25" s="29">
        <f>HLOOKUP(mes_ano!$A$1,$H$4:$P$176,E25,0)</f>
        <v>183.26</v>
      </c>
      <c r="H25" s="34">
        <v>182.4</v>
      </c>
      <c r="I25" s="34">
        <v>192.67</v>
      </c>
      <c r="J25" s="34">
        <v>186.19</v>
      </c>
      <c r="K25" s="45">
        <v>183.13</v>
      </c>
      <c r="L25" s="45">
        <f>[1]FEIJÃO_ÁGUAS_ATUALIZADO!$U$13+[1]FEIJÃO_ÁGUAS_ATUALIZADO!$U$14</f>
        <v>183.26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ht="15" x14ac:dyDescent="0.2">
      <c r="A26" s="21" t="str">
        <f t="shared" si="0"/>
        <v>2Despesas de manutenção de benfeitorias</v>
      </c>
      <c r="B26" s="21">
        <v>2</v>
      </c>
      <c r="C26" s="21">
        <v>1000</v>
      </c>
      <c r="D26" s="21" t="str">
        <f t="shared" si="1"/>
        <v>10002</v>
      </c>
      <c r="E26" s="21">
        <v>23</v>
      </c>
      <c r="F26" s="32" t="s">
        <v>12</v>
      </c>
      <c r="G26" s="29">
        <f>HLOOKUP(mes_ano!$A$1,$H$4:$P$176,E26,0)</f>
        <v>102.97</v>
      </c>
      <c r="H26" s="34">
        <v>99.38</v>
      </c>
      <c r="I26" s="34">
        <v>100.76</v>
      </c>
      <c r="J26" s="34">
        <v>101.07</v>
      </c>
      <c r="K26" s="45">
        <v>102.27</v>
      </c>
      <c r="L26" s="45">
        <f>[1]FEIJÃO_ÁGUAS_ATUALIZADO!$U$16</f>
        <v>102.97</v>
      </c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:30" ht="15" x14ac:dyDescent="0.2">
      <c r="A27" s="21" t="str">
        <f t="shared" si="0"/>
        <v>2Mão-de-obra temporária</v>
      </c>
      <c r="B27" s="21">
        <v>2</v>
      </c>
      <c r="C27" s="21">
        <v>1000</v>
      </c>
      <c r="D27" s="21" t="str">
        <f t="shared" si="1"/>
        <v>10002</v>
      </c>
      <c r="E27" s="21">
        <v>24</v>
      </c>
      <c r="F27" s="32" t="s">
        <v>14</v>
      </c>
      <c r="G27" s="29">
        <f>HLOOKUP(mes_ano!$A$1,$H$4:$P$176,E27,0)</f>
        <v>59.18</v>
      </c>
      <c r="H27" s="34">
        <v>56.14</v>
      </c>
      <c r="I27" s="34">
        <v>58.51</v>
      </c>
      <c r="J27" s="34">
        <v>60.41</v>
      </c>
      <c r="K27" s="45">
        <v>58.91</v>
      </c>
      <c r="L27" s="45">
        <f>[1]FEIJÃO_ÁGUAS_ATUALIZADO!$U$18</f>
        <v>59.18</v>
      </c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ht="15" x14ac:dyDescent="0.2">
      <c r="A28" s="21" t="str">
        <f t="shared" si="0"/>
        <v>2Sementes/Manivas</v>
      </c>
      <c r="B28" s="21">
        <v>2</v>
      </c>
      <c r="C28" s="21">
        <v>1000</v>
      </c>
      <c r="D28" s="21" t="str">
        <f t="shared" si="1"/>
        <v>10002</v>
      </c>
      <c r="E28" s="21">
        <v>25</v>
      </c>
      <c r="F28" s="32" t="s">
        <v>16</v>
      </c>
      <c r="G28" s="29">
        <f>HLOOKUP(mes_ano!$A$1,$H$4:$P$176,E28,0)</f>
        <v>542.5</v>
      </c>
      <c r="H28" s="34">
        <v>582</v>
      </c>
      <c r="I28" s="34">
        <v>583.5</v>
      </c>
      <c r="J28" s="34">
        <v>572</v>
      </c>
      <c r="K28" s="45">
        <v>507.5</v>
      </c>
      <c r="L28" s="45">
        <f>[1]FEIJÃO_ÁGUAS_ATUALIZADO!$U$21</f>
        <v>542.5</v>
      </c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ht="15" x14ac:dyDescent="0.2">
      <c r="A29" s="21" t="str">
        <f t="shared" si="0"/>
        <v>2Fertilizantes</v>
      </c>
      <c r="B29" s="21">
        <v>2</v>
      </c>
      <c r="C29" s="21">
        <v>1000</v>
      </c>
      <c r="D29" s="21" t="str">
        <f t="shared" si="1"/>
        <v>10002</v>
      </c>
      <c r="E29" s="21">
        <v>26</v>
      </c>
      <c r="F29" s="32" t="s">
        <v>18</v>
      </c>
      <c r="G29" s="29">
        <f>HLOOKUP(mes_ano!$A$1,$H$4:$P$176,E29,0)</f>
        <v>1135</v>
      </c>
      <c r="H29" s="34">
        <v>1034</v>
      </c>
      <c r="I29" s="34">
        <v>1066</v>
      </c>
      <c r="J29" s="34">
        <v>1085</v>
      </c>
      <c r="K29" s="45">
        <v>1154</v>
      </c>
      <c r="L29" s="45">
        <f>[1]FEIJÃO_ÁGUAS_ATUALIZADO!$U$22</f>
        <v>1135</v>
      </c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ht="15" x14ac:dyDescent="0.2">
      <c r="A30" s="21" t="str">
        <f t="shared" si="0"/>
        <v>2Agrotóxicos</v>
      </c>
      <c r="B30" s="21">
        <v>2</v>
      </c>
      <c r="C30" s="21">
        <v>1000</v>
      </c>
      <c r="D30" s="21" t="str">
        <f t="shared" si="1"/>
        <v>10002</v>
      </c>
      <c r="E30" s="21">
        <v>27</v>
      </c>
      <c r="F30" s="32" t="s">
        <v>20</v>
      </c>
      <c r="G30" s="29">
        <f>HLOOKUP(mes_ano!$A$1,$H$4:$P$176,E30,0)</f>
        <v>624.54</v>
      </c>
      <c r="H30" s="34">
        <v>582.27</v>
      </c>
      <c r="I30" s="34">
        <v>600.15</v>
      </c>
      <c r="J30" s="34">
        <v>597.55999999999995</v>
      </c>
      <c r="K30" s="45">
        <v>625.41</v>
      </c>
      <c r="L30" s="45">
        <f>[1]FEIJÃO_ÁGUAS_ATUALIZADO!$U$23</f>
        <v>624.54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 ht="15" x14ac:dyDescent="0.2">
      <c r="A31" s="21" t="str">
        <f t="shared" si="0"/>
        <v>2Despesas gerais</v>
      </c>
      <c r="B31" s="21">
        <v>2</v>
      </c>
      <c r="C31" s="21">
        <v>1000</v>
      </c>
      <c r="D31" s="21" t="str">
        <f t="shared" si="1"/>
        <v>10002</v>
      </c>
      <c r="E31" s="21">
        <v>28</v>
      </c>
      <c r="F31" s="32" t="s">
        <v>22</v>
      </c>
      <c r="G31" s="29">
        <f>HLOOKUP(mes_ano!$A$1,$H$4:$P$176,E31,0)</f>
        <v>60.38</v>
      </c>
      <c r="H31" s="34">
        <v>58.19</v>
      </c>
      <c r="I31" s="34">
        <v>59.5</v>
      </c>
      <c r="J31" s="34">
        <v>59.5</v>
      </c>
      <c r="K31" s="45">
        <v>60.03</v>
      </c>
      <c r="L31" s="45">
        <f>[1]FEIJÃO_ÁGUAS_ATUALIZADO!$U$25</f>
        <v>60.38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 ht="15" x14ac:dyDescent="0.2">
      <c r="A32" s="21" t="str">
        <f t="shared" si="0"/>
        <v>2Transporte externo</v>
      </c>
      <c r="B32" s="21">
        <v>2</v>
      </c>
      <c r="C32" s="21">
        <v>1000</v>
      </c>
      <c r="D32" s="21" t="str">
        <f t="shared" si="1"/>
        <v>10002</v>
      </c>
      <c r="E32" s="21">
        <v>29</v>
      </c>
      <c r="F32" s="28" t="s">
        <v>24</v>
      </c>
      <c r="G32" s="29">
        <f>HLOOKUP(mes_ano!$A$1,$H$4:$P$176,E32,0)</f>
        <v>102.9</v>
      </c>
      <c r="H32" s="34">
        <v>92.4</v>
      </c>
      <c r="I32" s="34">
        <v>98.1</v>
      </c>
      <c r="J32" s="34">
        <v>102.6</v>
      </c>
      <c r="K32" s="45">
        <v>102.9</v>
      </c>
      <c r="L32" s="45">
        <f>[1]FEIJÃO_ÁGUAS_ATUALIZADO!$U$26</f>
        <v>102.9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pans="1:30" ht="15" x14ac:dyDescent="0.2">
      <c r="A33" s="21" t="str">
        <f t="shared" si="0"/>
        <v>2Assistência técnica</v>
      </c>
      <c r="B33" s="21">
        <v>2</v>
      </c>
      <c r="C33" s="21">
        <v>1000</v>
      </c>
      <c r="D33" s="21" t="str">
        <f t="shared" si="1"/>
        <v>10002</v>
      </c>
      <c r="E33" s="21">
        <v>30</v>
      </c>
      <c r="F33" s="32" t="s">
        <v>26</v>
      </c>
      <c r="G33" s="29">
        <f>HLOOKUP(mes_ano!$A$1,$H$4:$P$176,E33,0)</f>
        <v>61.59</v>
      </c>
      <c r="H33" s="34">
        <v>59.35</v>
      </c>
      <c r="I33" s="34">
        <v>60.69</v>
      </c>
      <c r="J33" s="34">
        <v>60.69</v>
      </c>
      <c r="K33" s="45">
        <v>61.23</v>
      </c>
      <c r="L33" s="45">
        <f>[1]FEIJÃO_ÁGUAS_ATUALIZADO!$U$28</f>
        <v>61.59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ht="15" x14ac:dyDescent="0.2">
      <c r="A34" s="21" t="str">
        <f t="shared" si="0"/>
        <v>2PROAGRO/SEGURO</v>
      </c>
      <c r="B34" s="21">
        <v>2</v>
      </c>
      <c r="C34" s="21">
        <v>1000</v>
      </c>
      <c r="D34" s="21" t="str">
        <f t="shared" si="1"/>
        <v>10002</v>
      </c>
      <c r="E34" s="21">
        <v>31</v>
      </c>
      <c r="F34" s="32" t="s">
        <v>28</v>
      </c>
      <c r="G34" s="29">
        <f>HLOOKUP(mes_ano!$A$1,$H$4:$P$176,E34,0)</f>
        <v>198.72</v>
      </c>
      <c r="H34" s="34">
        <v>190.47</v>
      </c>
      <c r="I34" s="34">
        <v>195.24</v>
      </c>
      <c r="J34" s="34">
        <v>195.6</v>
      </c>
      <c r="K34" s="45">
        <v>198</v>
      </c>
      <c r="L34" s="45">
        <f>[1]FEIJÃO_ÁGUAS_ATUALIZADO!$U$29</f>
        <v>198.72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pans="1:30" ht="15" x14ac:dyDescent="0.2">
      <c r="A35" s="21" t="str">
        <f t="shared" si="0"/>
        <v>2Juros</v>
      </c>
      <c r="B35" s="21">
        <v>2</v>
      </c>
      <c r="C35" s="21">
        <v>1000</v>
      </c>
      <c r="D35" s="21" t="str">
        <f t="shared" si="1"/>
        <v>10002</v>
      </c>
      <c r="E35" s="21">
        <v>32</v>
      </c>
      <c r="F35" s="32" t="s">
        <v>30</v>
      </c>
      <c r="G35" s="29">
        <f>HLOOKUP(mes_ano!$A$1,$H$4:$P$176,E35,0)</f>
        <v>95.1</v>
      </c>
      <c r="H35" s="34">
        <v>91.47</v>
      </c>
      <c r="I35" s="34">
        <v>93.54</v>
      </c>
      <c r="J35" s="34">
        <v>93.7</v>
      </c>
      <c r="K35" s="45">
        <v>94.56</v>
      </c>
      <c r="L35" s="45">
        <f>[1]FEIJÃO_ÁGUAS_ATUALIZADO!$U$30</f>
        <v>95.1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pans="1:30" ht="15" x14ac:dyDescent="0.2">
      <c r="A36" s="21" t="str">
        <f t="shared" si="0"/>
        <v>2Depreciação de máquinas e implementos</v>
      </c>
      <c r="B36" s="21">
        <v>2</v>
      </c>
      <c r="C36" s="21">
        <v>0</v>
      </c>
      <c r="D36" s="21" t="str">
        <f t="shared" si="1"/>
        <v>02</v>
      </c>
      <c r="E36" s="21">
        <v>33</v>
      </c>
      <c r="F36" s="32" t="s">
        <v>32</v>
      </c>
      <c r="G36" s="29">
        <f>HLOOKUP(mes_ano!$A$1,$H$4:$P$176,E36,0)</f>
        <v>191.39</v>
      </c>
      <c r="H36" s="34">
        <v>184.84</v>
      </c>
      <c r="I36" s="34">
        <v>187.55</v>
      </c>
      <c r="J36" s="34">
        <v>192.06</v>
      </c>
      <c r="K36" s="45">
        <v>197.35</v>
      </c>
      <c r="L36" s="45">
        <f>[1]FEIJÃO_ÁGUAS_ATUALIZADO!$U$34</f>
        <v>191.39</v>
      </c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pans="1:30" ht="15" x14ac:dyDescent="0.2">
      <c r="A37" s="21" t="str">
        <f t="shared" si="0"/>
        <v>2Depreciação de benfeitorias e instalações</v>
      </c>
      <c r="B37" s="21">
        <v>2</v>
      </c>
      <c r="C37" s="21">
        <v>0</v>
      </c>
      <c r="D37" s="21" t="str">
        <f t="shared" si="1"/>
        <v>02</v>
      </c>
      <c r="E37" s="21">
        <v>34</v>
      </c>
      <c r="F37" s="32" t="s">
        <v>33</v>
      </c>
      <c r="G37" s="29">
        <f>HLOOKUP(mes_ano!$A$1,$H$4:$P$176,E37,0)</f>
        <v>115.06</v>
      </c>
      <c r="H37" s="34">
        <v>111.01</v>
      </c>
      <c r="I37" s="34">
        <v>112.75</v>
      </c>
      <c r="J37" s="34">
        <v>112.89</v>
      </c>
      <c r="K37" s="45">
        <v>114.13</v>
      </c>
      <c r="L37" s="45">
        <f>[1]FEIJÃO_ÁGUAS_ATUALIZADO!$U$35</f>
        <v>115.06</v>
      </c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pans="1:30" ht="15" x14ac:dyDescent="0.2">
      <c r="A38" s="21" t="str">
        <f t="shared" si="0"/>
        <v>2Sistematização e correção do solo</v>
      </c>
      <c r="B38" s="21">
        <v>2</v>
      </c>
      <c r="C38" s="21">
        <v>0</v>
      </c>
      <c r="D38" s="21" t="str">
        <f t="shared" si="1"/>
        <v>02</v>
      </c>
      <c r="E38" s="21">
        <v>35</v>
      </c>
      <c r="F38" s="32" t="s">
        <v>34</v>
      </c>
      <c r="G38" s="29">
        <f>HLOOKUP(mes_ano!$A$1,$H$4:$P$176,E38,0)</f>
        <v>154.07</v>
      </c>
      <c r="H38" s="34">
        <v>150.74</v>
      </c>
      <c r="I38" s="34">
        <v>152.6</v>
      </c>
      <c r="J38" s="34">
        <v>151.80000000000001</v>
      </c>
      <c r="K38" s="45">
        <v>147.13999999999999</v>
      </c>
      <c r="L38" s="45">
        <f>[1]FEIJÃO_ÁGUAS_ATUALIZADO!$U$36</f>
        <v>154.07</v>
      </c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pans="1:30" ht="15" x14ac:dyDescent="0.2">
      <c r="A39" s="21" t="str">
        <f t="shared" si="0"/>
        <v>2Cultura</v>
      </c>
      <c r="B39" s="21">
        <v>2</v>
      </c>
      <c r="C39" s="21">
        <v>0</v>
      </c>
      <c r="D39" s="21" t="str">
        <f t="shared" si="1"/>
        <v>02</v>
      </c>
      <c r="E39" s="21">
        <v>36</v>
      </c>
      <c r="F39" s="32" t="s">
        <v>35</v>
      </c>
      <c r="G39" s="29" t="str">
        <f>HLOOKUP(mes_ano!$A$1,$H$4:$P$176,E39,0)</f>
        <v>-</v>
      </c>
      <c r="H39" s="35" t="s">
        <v>54</v>
      </c>
      <c r="I39" s="35" t="s">
        <v>54</v>
      </c>
      <c r="J39" s="35" t="s">
        <v>54</v>
      </c>
      <c r="K39" s="46" t="s">
        <v>54</v>
      </c>
      <c r="L39" s="46" t="s">
        <v>54</v>
      </c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pans="1:30" ht="15" x14ac:dyDescent="0.2">
      <c r="A40" s="21" t="str">
        <f t="shared" si="0"/>
        <v>2Seguro do capital</v>
      </c>
      <c r="B40" s="21">
        <v>2</v>
      </c>
      <c r="C40" s="21">
        <v>0</v>
      </c>
      <c r="D40" s="21" t="str">
        <f t="shared" si="1"/>
        <v>02</v>
      </c>
      <c r="E40" s="21">
        <v>37</v>
      </c>
      <c r="F40" s="32" t="s">
        <v>36</v>
      </c>
      <c r="G40" s="29">
        <f>HLOOKUP(mes_ano!$A$1,$H$4:$P$176,E40,0)</f>
        <v>220.64999999999998</v>
      </c>
      <c r="H40" s="34">
        <v>213.07</v>
      </c>
      <c r="I40" s="34">
        <v>216.22</v>
      </c>
      <c r="J40" s="34">
        <v>220.77</v>
      </c>
      <c r="K40" s="45">
        <v>226.37</v>
      </c>
      <c r="L40" s="45">
        <f>[1]FEIJÃO_ÁGUAS_ATUALIZADO!$U$41+[1]FEIJÃO_ÁGUAS_ATUALIZADO!$U$42</f>
        <v>220.64999999999998</v>
      </c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ht="15" x14ac:dyDescent="0.2">
      <c r="A41" s="21" t="str">
        <f t="shared" si="0"/>
        <v>2Mão-de-obra permanente</v>
      </c>
      <c r="B41" s="21">
        <v>2</v>
      </c>
      <c r="C41" s="21">
        <v>0</v>
      </c>
      <c r="D41" s="21" t="str">
        <f t="shared" si="1"/>
        <v>02</v>
      </c>
      <c r="E41" s="21">
        <v>38</v>
      </c>
      <c r="F41" s="28" t="s">
        <v>37</v>
      </c>
      <c r="G41" s="29">
        <f>HLOOKUP(mes_ano!$A$1,$H$4:$P$176,E41,0)</f>
        <v>256.89</v>
      </c>
      <c r="H41" s="34">
        <v>245.92</v>
      </c>
      <c r="I41" s="34">
        <v>251.08</v>
      </c>
      <c r="J41" s="34">
        <v>252.67</v>
      </c>
      <c r="K41" s="45">
        <v>254.73</v>
      </c>
      <c r="L41" s="45">
        <f>[1]FEIJÃO_ÁGUAS_ATUALIZADO!$U$44+[1]FEIJÃO_ÁGUAS_ATUALIZADO!$U$45</f>
        <v>256.89</v>
      </c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ht="15" x14ac:dyDescent="0.2">
      <c r="A42" s="21" t="str">
        <f t="shared" si="0"/>
        <v>2Remuneração do Capital próprio</v>
      </c>
      <c r="B42" s="21">
        <v>2</v>
      </c>
      <c r="C42" s="21">
        <v>0</v>
      </c>
      <c r="D42" s="21" t="str">
        <f t="shared" si="1"/>
        <v>02</v>
      </c>
      <c r="E42" s="21">
        <v>39</v>
      </c>
      <c r="F42" s="32" t="s">
        <v>39</v>
      </c>
      <c r="G42" s="29">
        <f>HLOOKUP(mes_ano!$A$1,$H$4:$P$176,E42,0)</f>
        <v>260.04000000000002</v>
      </c>
      <c r="H42" s="34">
        <v>252.18</v>
      </c>
      <c r="I42" s="34">
        <v>256.33</v>
      </c>
      <c r="J42" s="34">
        <v>257.47000000000003</v>
      </c>
      <c r="K42" s="45">
        <v>262.52</v>
      </c>
      <c r="L42" s="45">
        <f>[1]FEIJÃO_ÁGUAS_ATUALIZADO!$U$38+[1]FEIJÃO_ÁGUAS_ATUALIZADO!$U$39</f>
        <v>260.04000000000002</v>
      </c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pans="1:30" ht="15" x14ac:dyDescent="0.2">
      <c r="A43" s="21" t="str">
        <f t="shared" si="0"/>
        <v>2Remuneração da terra</v>
      </c>
      <c r="B43" s="21">
        <v>2</v>
      </c>
      <c r="C43" s="21">
        <v>0</v>
      </c>
      <c r="D43" s="21" t="str">
        <f t="shared" si="1"/>
        <v>02</v>
      </c>
      <c r="E43" s="21">
        <v>40</v>
      </c>
      <c r="F43" s="32" t="s">
        <v>40</v>
      </c>
      <c r="G43" s="29">
        <f>HLOOKUP(mes_ano!$A$1,$H$4:$P$176,E43,0)</f>
        <v>1441.69</v>
      </c>
      <c r="H43" s="34">
        <v>1378.66</v>
      </c>
      <c r="I43" s="34">
        <v>1404.95</v>
      </c>
      <c r="J43" s="34">
        <v>1453.92</v>
      </c>
      <c r="K43" s="45">
        <v>1452.49</v>
      </c>
      <c r="L43" s="45">
        <f>[1]FEIJÃO_ÁGUAS_ATUALIZADO!$U$46</f>
        <v>1441.69</v>
      </c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pans="1:30" ht="15" x14ac:dyDescent="0.2">
      <c r="A44" s="21" t="str">
        <f t="shared" si="0"/>
        <v>3Operação de máquinas e implementos</v>
      </c>
      <c r="B44" s="21">
        <v>3</v>
      </c>
      <c r="C44" s="21">
        <v>1000</v>
      </c>
      <c r="D44" s="21" t="str">
        <f t="shared" si="1"/>
        <v>10003</v>
      </c>
      <c r="E44" s="21">
        <v>41</v>
      </c>
      <c r="F44" s="28" t="s">
        <v>10</v>
      </c>
      <c r="G44" s="29">
        <f>HLOOKUP(mes_ano!$A$1,$H$4:$P$176,E44,0)</f>
        <v>251.42</v>
      </c>
      <c r="H44" s="34">
        <v>183.12</v>
      </c>
      <c r="I44" s="34">
        <v>193.86</v>
      </c>
      <c r="J44" s="34">
        <v>186.65</v>
      </c>
      <c r="K44" s="45">
        <v>278.72000000000003</v>
      </c>
      <c r="L44" s="45">
        <f>[1]FEIJÃO_SECA_ATUALIZADO!$V$13+[1]FEIJÃO_SECA_ATUALIZADO!AD17</f>
        <v>251.42</v>
      </c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pans="1:30" ht="15" x14ac:dyDescent="0.2">
      <c r="A45" s="21" t="str">
        <f t="shared" si="0"/>
        <v>3Despesas de manutenção de benfeitorias</v>
      </c>
      <c r="B45" s="21">
        <v>3</v>
      </c>
      <c r="C45" s="21">
        <v>1000</v>
      </c>
      <c r="D45" s="21" t="str">
        <f t="shared" si="1"/>
        <v>10003</v>
      </c>
      <c r="E45" s="21">
        <v>42</v>
      </c>
      <c r="F45" s="32" t="s">
        <v>12</v>
      </c>
      <c r="G45" s="29">
        <f>HLOOKUP(mes_ano!$A$1,$H$4:$P$176,E45,0)</f>
        <v>64.36</v>
      </c>
      <c r="H45" s="35">
        <v>62.11</v>
      </c>
      <c r="I45" s="35">
        <v>62.98</v>
      </c>
      <c r="J45" s="35">
        <v>63.17</v>
      </c>
      <c r="K45" s="46">
        <v>63.92</v>
      </c>
      <c r="L45" s="46">
        <f>[1]FEIJÃO_SECA_ATUALIZADO!$V$16</f>
        <v>64.36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pans="1:30" ht="15" x14ac:dyDescent="0.2">
      <c r="A46" s="21" t="str">
        <f t="shared" si="0"/>
        <v>3Mão-de-obra temporária</v>
      </c>
      <c r="B46" s="21">
        <v>3</v>
      </c>
      <c r="C46" s="21">
        <v>1000</v>
      </c>
      <c r="D46" s="21" t="str">
        <f t="shared" si="1"/>
        <v>10003</v>
      </c>
      <c r="E46" s="21">
        <v>43</v>
      </c>
      <c r="F46" s="32" t="s">
        <v>14</v>
      </c>
      <c r="G46" s="29">
        <f>HLOOKUP(mes_ano!$A$1,$H$4:$P$176,E46,0)</f>
        <v>66.97</v>
      </c>
      <c r="H46" s="35">
        <v>63.53</v>
      </c>
      <c r="I46" s="35">
        <v>66.2</v>
      </c>
      <c r="J46" s="35">
        <v>68.36</v>
      </c>
      <c r="K46" s="46">
        <v>66.66</v>
      </c>
      <c r="L46" s="46">
        <f>[1]FEIJÃO_SECA_ATUALIZADO!$V$18</f>
        <v>66.97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1:30" ht="15" x14ac:dyDescent="0.2">
      <c r="A47" s="21" t="str">
        <f t="shared" si="0"/>
        <v>3Sementes/Manivas</v>
      </c>
      <c r="B47" s="21">
        <v>3</v>
      </c>
      <c r="C47" s="21">
        <v>1000</v>
      </c>
      <c r="D47" s="21" t="str">
        <f t="shared" si="1"/>
        <v>10003</v>
      </c>
      <c r="E47" s="21">
        <v>44</v>
      </c>
      <c r="F47" s="32" t="s">
        <v>16</v>
      </c>
      <c r="G47" s="29">
        <f>HLOOKUP(mes_ano!$A$1,$H$4:$P$176,E47,0)</f>
        <v>868</v>
      </c>
      <c r="H47" s="36">
        <v>931.2</v>
      </c>
      <c r="I47" s="36">
        <v>933.6</v>
      </c>
      <c r="J47" s="36">
        <v>915.2</v>
      </c>
      <c r="K47" s="47">
        <v>812</v>
      </c>
      <c r="L47" s="47">
        <f>[1]FEIJÃO_SECA_ATUALIZADO!$V$21</f>
        <v>868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pans="1:30" ht="15" x14ac:dyDescent="0.2">
      <c r="A48" s="21" t="str">
        <f t="shared" si="0"/>
        <v>3Fertilizantes</v>
      </c>
      <c r="B48" s="21">
        <v>3</v>
      </c>
      <c r="C48" s="21">
        <v>1000</v>
      </c>
      <c r="D48" s="21" t="str">
        <f t="shared" si="1"/>
        <v>10003</v>
      </c>
      <c r="E48" s="21">
        <v>45</v>
      </c>
      <c r="F48" s="32" t="s">
        <v>18</v>
      </c>
      <c r="G48" s="29">
        <f>HLOOKUP(mes_ano!$A$1,$H$4:$P$176,E48,0)</f>
        <v>1339</v>
      </c>
      <c r="H48" s="36">
        <v>1223</v>
      </c>
      <c r="I48" s="36">
        <v>1336</v>
      </c>
      <c r="J48" s="36">
        <v>1358</v>
      </c>
      <c r="K48" s="47">
        <v>1394</v>
      </c>
      <c r="L48" s="47">
        <f>[1]FEIJÃO_SECA_ATUALIZADO!$V$22</f>
        <v>1339</v>
      </c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 spans="1:30" ht="15" x14ac:dyDescent="0.2">
      <c r="A49" s="21" t="str">
        <f t="shared" si="0"/>
        <v>3Agrotóxicos</v>
      </c>
      <c r="B49" s="21">
        <v>3</v>
      </c>
      <c r="C49" s="21">
        <v>1000</v>
      </c>
      <c r="D49" s="21" t="str">
        <f t="shared" si="1"/>
        <v>10003</v>
      </c>
      <c r="E49" s="21">
        <v>46</v>
      </c>
      <c r="F49" s="32" t="s">
        <v>20</v>
      </c>
      <c r="G49" s="29">
        <f>HLOOKUP(mes_ano!$A$1,$H$4:$P$176,E49,0)</f>
        <v>851.14</v>
      </c>
      <c r="H49" s="36">
        <v>784.74</v>
      </c>
      <c r="I49" s="36">
        <v>814.84</v>
      </c>
      <c r="J49" s="36">
        <v>808.51</v>
      </c>
      <c r="K49" s="47">
        <v>842.43</v>
      </c>
      <c r="L49" s="47">
        <f>[1]FEIJÃO_SECA_ATUALIZADO!$V$23</f>
        <v>851.14</v>
      </c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pans="1:30" ht="15" x14ac:dyDescent="0.2">
      <c r="A50" s="21" t="str">
        <f t="shared" si="0"/>
        <v>3Despesas gerais</v>
      </c>
      <c r="B50" s="21">
        <v>3</v>
      </c>
      <c r="C50" s="21">
        <v>1000</v>
      </c>
      <c r="D50" s="21" t="str">
        <f t="shared" si="1"/>
        <v>10003</v>
      </c>
      <c r="E50" s="21">
        <v>47</v>
      </c>
      <c r="F50" s="32" t="s">
        <v>22</v>
      </c>
      <c r="G50" s="29">
        <f>HLOOKUP(mes_ano!$A$1,$H$4:$P$176,E50,0)</f>
        <v>69.8</v>
      </c>
      <c r="H50" s="36">
        <v>65.42</v>
      </c>
      <c r="I50" s="36">
        <v>68.62</v>
      </c>
      <c r="J50" s="36">
        <v>68.459999999999994</v>
      </c>
      <c r="K50" s="47">
        <v>69.56</v>
      </c>
      <c r="L50" s="47">
        <f>[1]FEIJÃO_SECA_ATUALIZADO!$V$25</f>
        <v>69.8</v>
      </c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1:30" ht="15" x14ac:dyDescent="0.2">
      <c r="A51" s="21" t="str">
        <f t="shared" si="0"/>
        <v>3Transporte externo</v>
      </c>
      <c r="B51" s="21">
        <v>3</v>
      </c>
      <c r="C51" s="21">
        <v>1000</v>
      </c>
      <c r="D51" s="21" t="str">
        <f t="shared" si="1"/>
        <v>10003</v>
      </c>
      <c r="E51" s="21">
        <v>48</v>
      </c>
      <c r="F51" s="28" t="s">
        <v>24</v>
      </c>
      <c r="G51" s="29">
        <f>HLOOKUP(mes_ano!$A$1,$H$4:$P$176,E51,0)</f>
        <v>116.62</v>
      </c>
      <c r="H51" s="36">
        <v>104.72</v>
      </c>
      <c r="I51" s="36">
        <v>111.18</v>
      </c>
      <c r="J51" s="36">
        <v>116.28</v>
      </c>
      <c r="K51" s="47">
        <v>116.62</v>
      </c>
      <c r="L51" s="47">
        <f>[1]FEIJÃO_SECA_ATUALIZADO!$V$26</f>
        <v>116.62</v>
      </c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pans="1:30" ht="15" x14ac:dyDescent="0.2">
      <c r="A52" s="21" t="str">
        <f t="shared" si="0"/>
        <v>3Assistência técnica</v>
      </c>
      <c r="B52" s="21">
        <v>3</v>
      </c>
      <c r="C52" s="21">
        <v>1000</v>
      </c>
      <c r="D52" s="21" t="str">
        <f t="shared" si="1"/>
        <v>10003</v>
      </c>
      <c r="E52" s="21">
        <v>49</v>
      </c>
      <c r="F52" s="32" t="s">
        <v>26</v>
      </c>
      <c r="G52" s="29">
        <f>HLOOKUP(mes_ano!$A$1,$H$4:$P$176,E52,0)</f>
        <v>71.2</v>
      </c>
      <c r="H52" s="36">
        <v>66.73</v>
      </c>
      <c r="I52" s="36">
        <v>69.989999999999995</v>
      </c>
      <c r="J52" s="36">
        <v>69.819999999999993</v>
      </c>
      <c r="K52" s="47">
        <v>70.95</v>
      </c>
      <c r="L52" s="47">
        <f>[1]FEIJÃO_SECA_ATUALIZADO!$V$28</f>
        <v>71.2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30" ht="15" x14ac:dyDescent="0.2">
      <c r="A53" s="21" t="str">
        <f t="shared" si="0"/>
        <v>3PROAGRO/SEGURO</v>
      </c>
      <c r="B53" s="21">
        <v>3</v>
      </c>
      <c r="C53" s="21">
        <v>1000</v>
      </c>
      <c r="D53" s="21" t="str">
        <f t="shared" si="1"/>
        <v>10003</v>
      </c>
      <c r="E53" s="21">
        <v>50</v>
      </c>
      <c r="F53" s="32" t="s">
        <v>28</v>
      </c>
      <c r="G53" s="29">
        <f>HLOOKUP(mes_ano!$A$1,$H$4:$P$176,E53,0)</f>
        <v>233.59</v>
      </c>
      <c r="H53" s="36">
        <v>218.54</v>
      </c>
      <c r="I53" s="36">
        <v>229.48</v>
      </c>
      <c r="J53" s="36">
        <v>228.79</v>
      </c>
      <c r="K53" s="47">
        <v>232.9</v>
      </c>
      <c r="L53" s="47">
        <f>[1]FEIJÃO_SECA_ATUALIZADO!$V$29</f>
        <v>233.59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0" ht="15" x14ac:dyDescent="0.2">
      <c r="A54" s="21" t="str">
        <f t="shared" si="0"/>
        <v>3Juros</v>
      </c>
      <c r="B54" s="21">
        <v>3</v>
      </c>
      <c r="C54" s="21">
        <v>1000</v>
      </c>
      <c r="D54" s="21" t="str">
        <f t="shared" si="1"/>
        <v>10003</v>
      </c>
      <c r="E54" s="21">
        <v>51</v>
      </c>
      <c r="F54" s="32" t="s">
        <v>30</v>
      </c>
      <c r="G54" s="29">
        <f>HLOOKUP(mes_ano!$A$1,$H$4:$P$176,E54,0)</f>
        <v>121.99</v>
      </c>
      <c r="H54" s="36">
        <v>117.83</v>
      </c>
      <c r="I54" s="36">
        <v>123.59</v>
      </c>
      <c r="J54" s="36">
        <v>123.4</v>
      </c>
      <c r="K54" s="47">
        <v>121.83</v>
      </c>
      <c r="L54" s="47">
        <f>[1]FEIJÃO_SECA_ATUALIZADO!$V$30</f>
        <v>121.99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ht="15" x14ac:dyDescent="0.2">
      <c r="A55" s="21" t="str">
        <f t="shared" si="0"/>
        <v>3Depreciação de máquinas e implementos</v>
      </c>
      <c r="B55" s="21">
        <v>3</v>
      </c>
      <c r="C55" s="21">
        <v>0</v>
      </c>
      <c r="D55" s="21" t="str">
        <f t="shared" si="1"/>
        <v>03</v>
      </c>
      <c r="E55" s="21">
        <v>52</v>
      </c>
      <c r="F55" s="32" t="s">
        <v>32</v>
      </c>
      <c r="G55" s="29">
        <f>HLOOKUP(mes_ano!$A$1,$H$4:$P$176,E55,0)</f>
        <v>248.98</v>
      </c>
      <c r="H55" s="36">
        <v>198.92</v>
      </c>
      <c r="I55" s="36">
        <v>201.55</v>
      </c>
      <c r="J55" s="36">
        <v>207.72</v>
      </c>
      <c r="K55" s="47">
        <v>261.2</v>
      </c>
      <c r="L55" s="47">
        <f>[1]FEIJÃO_SECA_ATUALIZADO!$V$34</f>
        <v>248.98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 spans="1:30" ht="15" x14ac:dyDescent="0.2">
      <c r="A56" s="21" t="str">
        <f t="shared" si="0"/>
        <v>3Depreciação de benfeitorias e instalações</v>
      </c>
      <c r="B56" s="21">
        <v>3</v>
      </c>
      <c r="C56" s="21">
        <v>0</v>
      </c>
      <c r="D56" s="21" t="str">
        <f t="shared" si="1"/>
        <v>03</v>
      </c>
      <c r="E56" s="21">
        <v>53</v>
      </c>
      <c r="F56" s="32" t="s">
        <v>33</v>
      </c>
      <c r="G56" s="29">
        <f>HLOOKUP(mes_ano!$A$1,$H$4:$P$176,E56,0)</f>
        <v>54.46</v>
      </c>
      <c r="H56" s="36">
        <v>53.37</v>
      </c>
      <c r="I56" s="36">
        <v>53.98</v>
      </c>
      <c r="J56" s="36">
        <v>53.69</v>
      </c>
      <c r="K56" s="47">
        <v>54.46</v>
      </c>
      <c r="L56" s="47">
        <f>[1]FEIJÃO_SECA_ATUALIZADO!$V$35</f>
        <v>54.46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</row>
    <row r="57" spans="1:30" ht="15" x14ac:dyDescent="0.2">
      <c r="A57" s="21" t="str">
        <f t="shared" si="0"/>
        <v>3Sistematização e correção do solo</v>
      </c>
      <c r="B57" s="21">
        <v>3</v>
      </c>
      <c r="C57" s="21">
        <v>0</v>
      </c>
      <c r="D57" s="21" t="str">
        <f t="shared" si="1"/>
        <v>03</v>
      </c>
      <c r="E57" s="21">
        <v>54</v>
      </c>
      <c r="F57" s="32" t="s">
        <v>34</v>
      </c>
      <c r="G57" s="29">
        <f>HLOOKUP(mes_ano!$A$1,$H$4:$P$176,E57,0)</f>
        <v>154.07</v>
      </c>
      <c r="H57" s="36">
        <v>150.74</v>
      </c>
      <c r="I57" s="36">
        <v>152.6</v>
      </c>
      <c r="J57" s="36">
        <v>151.80000000000001</v>
      </c>
      <c r="K57" s="47">
        <v>147.13999999999999</v>
      </c>
      <c r="L57" s="47">
        <f>[1]FEIJÃO_SECA_ATUALIZADO!$V$36</f>
        <v>154.07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</row>
    <row r="58" spans="1:30" ht="15" x14ac:dyDescent="0.2">
      <c r="A58" s="21" t="str">
        <f t="shared" si="0"/>
        <v>3Cultura</v>
      </c>
      <c r="B58" s="21">
        <v>3</v>
      </c>
      <c r="C58" s="21">
        <v>0</v>
      </c>
      <c r="D58" s="21" t="str">
        <f t="shared" si="1"/>
        <v>03</v>
      </c>
      <c r="E58" s="21">
        <v>55</v>
      </c>
      <c r="F58" s="32" t="s">
        <v>35</v>
      </c>
      <c r="G58" s="29" t="str">
        <f>HLOOKUP(mes_ano!$A$1,$H$4:$P$176,E58,0)</f>
        <v>-</v>
      </c>
      <c r="H58" s="36" t="s">
        <v>54</v>
      </c>
      <c r="I58" s="36" t="s">
        <v>54</v>
      </c>
      <c r="J58" s="36" t="s">
        <v>54</v>
      </c>
      <c r="K58" s="47" t="s">
        <v>54</v>
      </c>
      <c r="L58" s="47" t="s">
        <v>54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 spans="1:30" ht="15" x14ac:dyDescent="0.2">
      <c r="A59" s="21" t="str">
        <f t="shared" si="0"/>
        <v>3Seguro do capital</v>
      </c>
      <c r="B59" s="21">
        <v>3</v>
      </c>
      <c r="C59" s="21">
        <v>0</v>
      </c>
      <c r="D59" s="21" t="str">
        <f t="shared" si="1"/>
        <v>03</v>
      </c>
      <c r="E59" s="21">
        <v>56</v>
      </c>
      <c r="F59" s="32" t="s">
        <v>36</v>
      </c>
      <c r="G59" s="29">
        <f>HLOOKUP(mes_ano!$A$1,$H$4:$P$176,E59,0)</f>
        <v>28.09</v>
      </c>
      <c r="H59" s="36">
        <v>27.44</v>
      </c>
      <c r="I59" s="36">
        <v>27.83</v>
      </c>
      <c r="J59" s="36">
        <v>27.95</v>
      </c>
      <c r="K59" s="47">
        <v>28.58</v>
      </c>
      <c r="L59" s="47">
        <f>[1]FEIJÃO_SECA_ATUALIZADO!$V$41+[1]FEIJÃO_SECA_ATUALIZADO!$V$42</f>
        <v>28.09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 spans="1:30" ht="15" x14ac:dyDescent="0.2">
      <c r="A60" s="21" t="str">
        <f t="shared" si="0"/>
        <v>3Mão-de-obra permanente</v>
      </c>
      <c r="B60" s="21">
        <v>3</v>
      </c>
      <c r="C60" s="21">
        <v>0</v>
      </c>
      <c r="D60" s="21" t="str">
        <f t="shared" si="1"/>
        <v>03</v>
      </c>
      <c r="E60" s="21">
        <v>57</v>
      </c>
      <c r="F60" s="28" t="s">
        <v>37</v>
      </c>
      <c r="G60" s="29">
        <f>HLOOKUP(mes_ano!$A$1,$H$4:$P$176,E60,0)</f>
        <v>298.61</v>
      </c>
      <c r="H60" s="36">
        <v>279.81</v>
      </c>
      <c r="I60" s="36">
        <v>291.55</v>
      </c>
      <c r="J60" s="36">
        <v>292.81</v>
      </c>
      <c r="K60" s="47">
        <v>296.66000000000003</v>
      </c>
      <c r="L60" s="47">
        <f>[1]FEIJÃO_SECA_ATUALIZADO!$V$44+[1]FEIJÃO_SECA_ATUALIZADO!$V$45</f>
        <v>298.61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 spans="1:30" ht="15" x14ac:dyDescent="0.2">
      <c r="A61" s="21" t="str">
        <f t="shared" si="0"/>
        <v>3Remuneração do Capital próprio</v>
      </c>
      <c r="B61" s="21">
        <v>3</v>
      </c>
      <c r="C61" s="21">
        <v>0</v>
      </c>
      <c r="D61" s="21" t="str">
        <f t="shared" si="1"/>
        <v>03</v>
      </c>
      <c r="E61" s="21">
        <v>58</v>
      </c>
      <c r="F61" s="32" t="s">
        <v>39</v>
      </c>
      <c r="G61" s="29">
        <f>HLOOKUP(mes_ano!$A$1,$H$4:$P$176,E61,0)</f>
        <v>183.26</v>
      </c>
      <c r="H61" s="36">
        <v>179</v>
      </c>
      <c r="I61" s="36">
        <v>181.64</v>
      </c>
      <c r="J61" s="36">
        <v>182.62</v>
      </c>
      <c r="K61" s="47">
        <v>187.03</v>
      </c>
      <c r="L61" s="47">
        <f>[1]FEIJÃO_SECA_ATUALIZADO!$V$38+[1]FEIJÃO_SECA_ATUALIZADO!$V$39</f>
        <v>183.26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 spans="1:30" ht="15" x14ac:dyDescent="0.2">
      <c r="A62" s="21" t="str">
        <f t="shared" si="0"/>
        <v>3Remuneração da terra</v>
      </c>
      <c r="B62" s="21">
        <v>3</v>
      </c>
      <c r="C62" s="21">
        <v>0</v>
      </c>
      <c r="D62" s="21" t="str">
        <f t="shared" si="1"/>
        <v>03</v>
      </c>
      <c r="E62" s="21">
        <v>59</v>
      </c>
      <c r="F62" s="32" t="s">
        <v>40</v>
      </c>
      <c r="G62" s="29">
        <f>HLOOKUP(mes_ano!$A$1,$H$4:$P$176,E62,0)</f>
        <v>1441.69</v>
      </c>
      <c r="H62" s="35">
        <v>1378.66</v>
      </c>
      <c r="I62" s="35">
        <v>1404.95</v>
      </c>
      <c r="J62" s="35">
        <v>1453.92</v>
      </c>
      <c r="K62" s="46">
        <v>1452.49</v>
      </c>
      <c r="L62" s="46">
        <f>[1]FEIJÃO_SECA_ATUALIZADO!$V$46</f>
        <v>1441.69</v>
      </c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 spans="1:30" ht="15" x14ac:dyDescent="0.2">
      <c r="A63" s="21" t="str">
        <f t="shared" si="0"/>
        <v>4Operação de máquinas e implementos</v>
      </c>
      <c r="B63" s="21">
        <v>4</v>
      </c>
      <c r="C63" s="21">
        <v>1000</v>
      </c>
      <c r="D63" s="21" t="str">
        <f t="shared" si="1"/>
        <v>10004</v>
      </c>
      <c r="E63" s="21">
        <v>60</v>
      </c>
      <c r="F63" s="28" t="s">
        <v>10</v>
      </c>
      <c r="G63" s="29">
        <f>HLOOKUP(mes_ano!$A$1,$H$4:$P$176,E63,0)</f>
        <v>704.03</v>
      </c>
      <c r="H63" s="30">
        <v>705.37</v>
      </c>
      <c r="I63" s="30">
        <v>748.29</v>
      </c>
      <c r="J63" s="30">
        <v>718.33</v>
      </c>
      <c r="K63" s="43">
        <v>702.16</v>
      </c>
      <c r="L63" s="43">
        <f>[1]Mandioca_1Ciclo_NOVA!$W$12+[1]Mandioca_1Ciclo_NOVA!$W$13</f>
        <v>704.03</v>
      </c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 spans="1:30" ht="15" x14ac:dyDescent="0.2">
      <c r="A64" s="21" t="str">
        <f t="shared" si="0"/>
        <v>4Despesas de manutenção de benfeitorias</v>
      </c>
      <c r="B64" s="21">
        <v>4</v>
      </c>
      <c r="C64" s="21">
        <v>1000</v>
      </c>
      <c r="D64" s="21" t="str">
        <f t="shared" si="1"/>
        <v>10004</v>
      </c>
      <c r="E64" s="21">
        <v>61</v>
      </c>
      <c r="F64" s="32" t="s">
        <v>12</v>
      </c>
      <c r="G64" s="29">
        <f>HLOOKUP(mes_ano!$A$1,$H$4:$P$176,E64,0)</f>
        <v>88.79</v>
      </c>
      <c r="H64" s="30">
        <v>86.6</v>
      </c>
      <c r="I64" s="30">
        <v>87.66</v>
      </c>
      <c r="J64" s="30">
        <v>87.32</v>
      </c>
      <c r="K64" s="43">
        <v>88.79</v>
      </c>
      <c r="L64" s="43">
        <f>[1]Mandioca_1Ciclo_NOVA!$W$15</f>
        <v>88.79</v>
      </c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 spans="1:30" ht="15" x14ac:dyDescent="0.2">
      <c r="A65" s="21" t="str">
        <f t="shared" si="0"/>
        <v>4Mão-de-obra temporária</v>
      </c>
      <c r="B65" s="21">
        <v>4</v>
      </c>
      <c r="C65" s="21">
        <v>1000</v>
      </c>
      <c r="D65" s="21" t="str">
        <f t="shared" si="1"/>
        <v>10004</v>
      </c>
      <c r="E65" s="21">
        <v>62</v>
      </c>
      <c r="F65" s="32" t="s">
        <v>14</v>
      </c>
      <c r="G65" s="29">
        <f>HLOOKUP(mes_ano!$A$1,$H$4:$P$176,E65,0)</f>
        <v>4354.79</v>
      </c>
      <c r="H65" s="30">
        <v>3927.72</v>
      </c>
      <c r="I65" s="30">
        <v>4377.55</v>
      </c>
      <c r="J65" s="30">
        <v>4430.74</v>
      </c>
      <c r="K65" s="43">
        <v>4458.33</v>
      </c>
      <c r="L65" s="43">
        <f>[1]Mandioca_1Ciclo_NOVA!$W$17</f>
        <v>4354.79</v>
      </c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 spans="1:30" ht="15" x14ac:dyDescent="0.2">
      <c r="A66" s="21" t="str">
        <f t="shared" si="0"/>
        <v>4Sementes/Manivas</v>
      </c>
      <c r="B66" s="21">
        <v>4</v>
      </c>
      <c r="C66" s="21">
        <v>1000</v>
      </c>
      <c r="D66" s="21" t="str">
        <f t="shared" si="1"/>
        <v>10004</v>
      </c>
      <c r="E66" s="21">
        <v>63</v>
      </c>
      <c r="F66" s="32" t="s">
        <v>16</v>
      </c>
      <c r="G66" s="29">
        <f>HLOOKUP(mes_ano!$A$1,$H$4:$P$176,E66,0)</f>
        <v>694.21</v>
      </c>
      <c r="H66" s="30">
        <v>545.45000000000005</v>
      </c>
      <c r="I66" s="30">
        <v>545.45000000000005</v>
      </c>
      <c r="J66" s="30">
        <v>644.63</v>
      </c>
      <c r="K66" s="43">
        <v>694.21</v>
      </c>
      <c r="L66" s="43">
        <f>[1]Mandioca_1Ciclo_NOVA!$W$19</f>
        <v>694.21</v>
      </c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 spans="1:30" ht="15" x14ac:dyDescent="0.2">
      <c r="A67" s="21" t="str">
        <f t="shared" si="0"/>
        <v>4Fertilizantes</v>
      </c>
      <c r="B67" s="21">
        <v>4</v>
      </c>
      <c r="C67" s="21">
        <v>1000</v>
      </c>
      <c r="D67" s="21" t="str">
        <f t="shared" si="1"/>
        <v>10004</v>
      </c>
      <c r="E67" s="21">
        <v>64</v>
      </c>
      <c r="F67" s="32" t="s">
        <v>18</v>
      </c>
      <c r="G67" s="29">
        <f>HLOOKUP(mes_ano!$A$1,$H$4:$P$176,E67,0)</f>
        <v>698.35</v>
      </c>
      <c r="H67" s="30">
        <v>657.85</v>
      </c>
      <c r="I67" s="30">
        <v>673.55</v>
      </c>
      <c r="J67" s="30">
        <v>697.93</v>
      </c>
      <c r="K67" s="43">
        <v>704.13</v>
      </c>
      <c r="L67" s="43">
        <f>[1]Mandioca_1Ciclo_NOVA!$W$20</f>
        <v>698.35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ht="15" x14ac:dyDescent="0.2">
      <c r="A68" s="21" t="str">
        <f t="shared" si="0"/>
        <v>4Agrotóxicos</v>
      </c>
      <c r="B68" s="21">
        <v>4</v>
      </c>
      <c r="C68" s="21">
        <v>1000</v>
      </c>
      <c r="D68" s="21" t="str">
        <f t="shared" si="1"/>
        <v>10004</v>
      </c>
      <c r="E68" s="21">
        <v>65</v>
      </c>
      <c r="F68" s="32" t="s">
        <v>20</v>
      </c>
      <c r="G68" s="29">
        <f>HLOOKUP(mes_ano!$A$1,$H$4:$P$176,E68,0)</f>
        <v>372.29</v>
      </c>
      <c r="H68" s="30">
        <v>371.6</v>
      </c>
      <c r="I68" s="30">
        <v>379.56</v>
      </c>
      <c r="J68" s="30">
        <v>370.05</v>
      </c>
      <c r="K68" s="43">
        <v>359.08</v>
      </c>
      <c r="L68" s="43">
        <f>[1]Mandioca_1Ciclo_NOVA!$W$21</f>
        <v>372.29</v>
      </c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</row>
    <row r="69" spans="1:30" ht="15" x14ac:dyDescent="0.2">
      <c r="A69" s="21" t="str">
        <f t="shared" si="0"/>
        <v>4Despesas gerais</v>
      </c>
      <c r="B69" s="21">
        <v>4</v>
      </c>
      <c r="C69" s="21">
        <v>1000</v>
      </c>
      <c r="D69" s="21" t="str">
        <f t="shared" si="1"/>
        <v>10004</v>
      </c>
      <c r="E69" s="21">
        <v>66</v>
      </c>
      <c r="F69" s="32" t="s">
        <v>22</v>
      </c>
      <c r="G69" s="29">
        <f>HLOOKUP(mes_ano!$A$1,$H$4:$P$176,E69,0)</f>
        <v>143.33000000000001</v>
      </c>
      <c r="H69" s="30">
        <v>130.83000000000001</v>
      </c>
      <c r="I69" s="30">
        <v>141.12</v>
      </c>
      <c r="J69" s="30">
        <v>143.88</v>
      </c>
      <c r="K69" s="43">
        <v>145.16999999999999</v>
      </c>
      <c r="L69" s="43">
        <f>[1]Mandioca_1Ciclo_NOVA!$W$22</f>
        <v>143.33000000000001</v>
      </c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</row>
    <row r="70" spans="1:30" ht="15" x14ac:dyDescent="0.2">
      <c r="A70" s="21" t="str">
        <f t="shared" si="0"/>
        <v>4Transporte externo</v>
      </c>
      <c r="B70" s="21">
        <v>4</v>
      </c>
      <c r="C70" s="21">
        <v>1000</v>
      </c>
      <c r="D70" s="21" t="str">
        <f t="shared" si="1"/>
        <v>10004</v>
      </c>
      <c r="E70" s="21">
        <v>67</v>
      </c>
      <c r="F70" s="28" t="s">
        <v>24</v>
      </c>
      <c r="G70" s="29">
        <f>HLOOKUP(mes_ano!$A$1,$H$4:$P$176,E70,0)</f>
        <v>1320</v>
      </c>
      <c r="H70" s="30">
        <v>1254</v>
      </c>
      <c r="I70" s="30">
        <v>1320</v>
      </c>
      <c r="J70" s="30">
        <v>1320</v>
      </c>
      <c r="K70" s="43">
        <v>1320</v>
      </c>
      <c r="L70" s="43">
        <f>[1]Mandioca_1Ciclo_NOVA!$W$23</f>
        <v>1320</v>
      </c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</row>
    <row r="71" spans="1:30" ht="15" x14ac:dyDescent="0.2">
      <c r="A71" s="21" t="str">
        <f t="shared" si="0"/>
        <v>4Assistência técnica</v>
      </c>
      <c r="B71" s="21">
        <v>4</v>
      </c>
      <c r="C71" s="21">
        <v>1000</v>
      </c>
      <c r="D71" s="21" t="str">
        <f t="shared" si="1"/>
        <v>10004</v>
      </c>
      <c r="E71" s="21">
        <v>68</v>
      </c>
      <c r="F71" s="32" t="s">
        <v>26</v>
      </c>
      <c r="G71" s="29">
        <f>HLOOKUP(mes_ano!$A$1,$H$4:$P$176,E71,0)</f>
        <v>146.19999999999999</v>
      </c>
      <c r="H71" s="30">
        <v>133.44999999999999</v>
      </c>
      <c r="I71" s="30">
        <v>143.94</v>
      </c>
      <c r="J71" s="30">
        <v>146.76</v>
      </c>
      <c r="K71" s="43">
        <v>148.07</v>
      </c>
      <c r="L71" s="43">
        <f>[1]Mandioca_1Ciclo_NOVA!$W$25</f>
        <v>146.19999999999999</v>
      </c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</row>
    <row r="72" spans="1:30" ht="15" x14ac:dyDescent="0.2">
      <c r="A72" s="21" t="str">
        <f t="shared" si="0"/>
        <v>4PROAGRO/SEGURO</v>
      </c>
      <c r="B72" s="21">
        <v>4</v>
      </c>
      <c r="C72" s="21">
        <v>1000</v>
      </c>
      <c r="D72" s="21" t="str">
        <f t="shared" si="1"/>
        <v>10004</v>
      </c>
      <c r="E72" s="21">
        <v>69</v>
      </c>
      <c r="F72" s="32" t="s">
        <v>28</v>
      </c>
      <c r="G72" s="29" t="str">
        <f>HLOOKUP(mes_ano!$A$1,$H$4:$P$176,E72,0)</f>
        <v>-</v>
      </c>
      <c r="H72" s="30" t="s">
        <v>54</v>
      </c>
      <c r="I72" s="30" t="s">
        <v>54</v>
      </c>
      <c r="J72" s="30" t="s">
        <v>54</v>
      </c>
      <c r="K72" s="43" t="s">
        <v>54</v>
      </c>
      <c r="L72" s="43" t="s">
        <v>54</v>
      </c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</row>
    <row r="73" spans="1:30" ht="15" x14ac:dyDescent="0.2">
      <c r="A73" s="21" t="str">
        <f t="shared" si="0"/>
        <v>4Juros</v>
      </c>
      <c r="B73" s="21">
        <v>4</v>
      </c>
      <c r="C73" s="21">
        <v>1000</v>
      </c>
      <c r="D73" s="21" t="str">
        <f t="shared" si="1"/>
        <v>10004</v>
      </c>
      <c r="E73" s="21">
        <v>70</v>
      </c>
      <c r="F73" s="32" t="s">
        <v>30</v>
      </c>
      <c r="G73" s="29">
        <f>HLOOKUP(mes_ano!$A$1,$H$4:$P$176,E73,0)</f>
        <v>178.75</v>
      </c>
      <c r="H73" s="30">
        <v>166.24</v>
      </c>
      <c r="I73" s="30">
        <v>171.61</v>
      </c>
      <c r="J73" s="30">
        <v>177.6</v>
      </c>
      <c r="K73" s="43">
        <v>178.24</v>
      </c>
      <c r="L73" s="43">
        <f>[1]Mandioca_1Ciclo_NOVA!$W$27</f>
        <v>178.75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 spans="1:30" ht="15" x14ac:dyDescent="0.2">
      <c r="A74" s="21" t="str">
        <f t="shared" si="0"/>
        <v>4Depreciação de máquinas e implementos</v>
      </c>
      <c r="B74" s="21">
        <v>4</v>
      </c>
      <c r="C74" s="21">
        <v>0</v>
      </c>
      <c r="D74" s="21" t="str">
        <f t="shared" si="1"/>
        <v>04</v>
      </c>
      <c r="E74" s="21">
        <v>71</v>
      </c>
      <c r="F74" s="32" t="s">
        <v>32</v>
      </c>
      <c r="G74" s="29">
        <f>HLOOKUP(mes_ano!$A$1,$H$4:$P$176,E74,0)</f>
        <v>290.64</v>
      </c>
      <c r="H74" s="30">
        <v>303.44</v>
      </c>
      <c r="I74" s="30">
        <v>313.67</v>
      </c>
      <c r="J74" s="30">
        <v>306.89</v>
      </c>
      <c r="K74" s="43">
        <v>308.58999999999997</v>
      </c>
      <c r="L74" s="43">
        <f>[1]Mandioca_1Ciclo_NOVA!$W$33</f>
        <v>290.64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 spans="1:30" ht="15" x14ac:dyDescent="0.2">
      <c r="A75" s="21" t="str">
        <f t="shared" si="0"/>
        <v>4Depreciação de benfeitorias e instalações</v>
      </c>
      <c r="B75" s="21">
        <v>4</v>
      </c>
      <c r="C75" s="21">
        <v>0</v>
      </c>
      <c r="D75" s="21" t="str">
        <f t="shared" si="1"/>
        <v>04</v>
      </c>
      <c r="E75" s="21">
        <v>72</v>
      </c>
      <c r="F75" s="32" t="s">
        <v>33</v>
      </c>
      <c r="G75" s="29">
        <f>HLOOKUP(mes_ano!$A$1,$H$4:$P$176,E75,0)</f>
        <v>47.41</v>
      </c>
      <c r="H75" s="30">
        <v>45.33</v>
      </c>
      <c r="I75" s="30">
        <v>46.18</v>
      </c>
      <c r="J75" s="30">
        <v>46.35</v>
      </c>
      <c r="K75" s="43">
        <v>46.86</v>
      </c>
      <c r="L75" s="43">
        <f>[1]Mandioca_1Ciclo_NOVA!$W$34</f>
        <v>47.41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 spans="1:30" ht="15" x14ac:dyDescent="0.2">
      <c r="A76" s="21" t="str">
        <f t="shared" si="0"/>
        <v>4Sistematização e correção do solo</v>
      </c>
      <c r="B76" s="21">
        <v>4</v>
      </c>
      <c r="C76" s="21">
        <v>0</v>
      </c>
      <c r="D76" s="21" t="str">
        <f t="shared" si="1"/>
        <v>04</v>
      </c>
      <c r="E76" s="21">
        <v>73</v>
      </c>
      <c r="F76" s="32" t="s">
        <v>34</v>
      </c>
      <c r="G76" s="29">
        <f>HLOOKUP(mes_ano!$A$1,$H$4:$P$176,E76,0)</f>
        <v>828.78</v>
      </c>
      <c r="H76" s="30">
        <v>824.61</v>
      </c>
      <c r="I76" s="30">
        <v>841.59</v>
      </c>
      <c r="J76" s="30">
        <v>820.85</v>
      </c>
      <c r="K76" s="43">
        <v>816.87</v>
      </c>
      <c r="L76" s="43">
        <f>[1]Mandioca_1Ciclo_NOVA!$W$35+[1]Mandioca_1Ciclo_NOVA!$W$16</f>
        <v>828.78</v>
      </c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 spans="1:30" ht="15" x14ac:dyDescent="0.2">
      <c r="A77" s="21" t="str">
        <f t="shared" si="0"/>
        <v>4Cultura</v>
      </c>
      <c r="B77" s="21">
        <v>4</v>
      </c>
      <c r="C77" s="21">
        <v>0</v>
      </c>
      <c r="D77" s="21" t="str">
        <f t="shared" si="1"/>
        <v>04</v>
      </c>
      <c r="E77" s="21">
        <v>74</v>
      </c>
      <c r="F77" s="32" t="s">
        <v>35</v>
      </c>
      <c r="G77" s="29" t="str">
        <f>HLOOKUP(mes_ano!$A$1,$H$4:$P$176,E77,0)</f>
        <v>-</v>
      </c>
      <c r="H77" s="30" t="s">
        <v>54</v>
      </c>
      <c r="I77" s="30" t="s">
        <v>54</v>
      </c>
      <c r="J77" s="30" t="s">
        <v>54</v>
      </c>
      <c r="K77" s="43" t="s">
        <v>54</v>
      </c>
      <c r="L77" s="43" t="s">
        <v>54</v>
      </c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 spans="1:30" ht="15" x14ac:dyDescent="0.2">
      <c r="A78" s="21" t="str">
        <f t="shared" si="0"/>
        <v>4Seguro do capital</v>
      </c>
      <c r="B78" s="21">
        <v>4</v>
      </c>
      <c r="C78" s="21">
        <v>0</v>
      </c>
      <c r="D78" s="21" t="str">
        <f t="shared" si="1"/>
        <v>04</v>
      </c>
      <c r="E78" s="21">
        <v>75</v>
      </c>
      <c r="F78" s="32" t="s">
        <v>36</v>
      </c>
      <c r="G78" s="29">
        <f>HLOOKUP(mes_ano!$A$1,$H$4:$P$176,E78,0)</f>
        <v>28.29</v>
      </c>
      <c r="H78" s="30">
        <v>29.02</v>
      </c>
      <c r="I78" s="30">
        <v>29.62</v>
      </c>
      <c r="J78" s="30">
        <v>29.04</v>
      </c>
      <c r="K78" s="43">
        <v>29.26</v>
      </c>
      <c r="L78" s="43">
        <f>[1]Mandioca_1Ciclo_NOVA!$W$41+[1]Mandioca_1Ciclo_NOVA!$W$43</f>
        <v>28.29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</row>
    <row r="79" spans="1:30" ht="15" x14ac:dyDescent="0.2">
      <c r="A79" s="21" t="str">
        <f t="shared" si="0"/>
        <v>4Mão-de-obra permanente</v>
      </c>
      <c r="B79" s="21">
        <v>4</v>
      </c>
      <c r="C79" s="21">
        <v>0</v>
      </c>
      <c r="D79" s="21" t="str">
        <f t="shared" si="1"/>
        <v>04</v>
      </c>
      <c r="E79" s="21">
        <v>76</v>
      </c>
      <c r="F79" s="28" t="s">
        <v>37</v>
      </c>
      <c r="G79" s="29">
        <f>HLOOKUP(mes_ano!$A$1,$H$4:$P$176,E79,0)</f>
        <v>708.53</v>
      </c>
      <c r="H79" s="30">
        <v>654.11</v>
      </c>
      <c r="I79" s="30">
        <v>691.73</v>
      </c>
      <c r="J79" s="30">
        <v>705.62</v>
      </c>
      <c r="K79" s="43">
        <v>710.43</v>
      </c>
      <c r="L79" s="43">
        <f>[1]Mandioca_1Ciclo_NOVA!$W$45+[1]Mandioca_1Ciclo_NOVA!$W$46</f>
        <v>708.53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</row>
    <row r="80" spans="1:30" ht="15" x14ac:dyDescent="0.2">
      <c r="A80" s="21" t="str">
        <f t="shared" si="0"/>
        <v>4Remuneração do Capital próprio</v>
      </c>
      <c r="B80" s="21">
        <v>4</v>
      </c>
      <c r="C80" s="21">
        <v>0</v>
      </c>
      <c r="D80" s="21" t="str">
        <f t="shared" si="1"/>
        <v>04</v>
      </c>
      <c r="E80" s="21">
        <v>77</v>
      </c>
      <c r="F80" s="32" t="s">
        <v>39</v>
      </c>
      <c r="G80" s="29">
        <f>HLOOKUP(mes_ano!$A$1,$H$4:$P$176,E80,0)</f>
        <v>193.24</v>
      </c>
      <c r="H80" s="30">
        <v>201.8</v>
      </c>
      <c r="I80" s="30">
        <v>206.58</v>
      </c>
      <c r="J80" s="30">
        <v>201.05</v>
      </c>
      <c r="K80" s="43">
        <v>202.77</v>
      </c>
      <c r="L80" s="43">
        <f>[1]Mandioca_1Ciclo_NOVA!$W$38+[1]Mandioca_1Ciclo_NOVA!$W$39</f>
        <v>193.24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</row>
    <row r="81" spans="1:30" ht="15" x14ac:dyDescent="0.2">
      <c r="A81" s="21" t="str">
        <f t="shared" si="0"/>
        <v>4Remuneração da terra</v>
      </c>
      <c r="B81" s="21">
        <v>4</v>
      </c>
      <c r="C81" s="21">
        <v>0</v>
      </c>
      <c r="D81" s="21" t="str">
        <f t="shared" si="1"/>
        <v>04</v>
      </c>
      <c r="E81" s="21">
        <v>78</v>
      </c>
      <c r="F81" s="32" t="s">
        <v>40</v>
      </c>
      <c r="G81" s="29">
        <f>HLOOKUP(mes_ano!$A$1,$H$4:$P$176,E81,0)</f>
        <v>1348.73</v>
      </c>
      <c r="H81" s="30">
        <v>1314.72</v>
      </c>
      <c r="I81" s="30">
        <v>1318.03</v>
      </c>
      <c r="J81" s="30">
        <v>1363.14</v>
      </c>
      <c r="K81" s="43">
        <v>1354.82</v>
      </c>
      <c r="L81" s="43">
        <f>[1]Mandioca_1Ciclo_NOVA!$W$47</f>
        <v>1348.73</v>
      </c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</row>
    <row r="82" spans="1:30" ht="15" x14ac:dyDescent="0.2">
      <c r="A82" s="21" t="str">
        <f t="shared" si="0"/>
        <v>5Operação de máquinas e implementos</v>
      </c>
      <c r="B82" s="21">
        <v>5</v>
      </c>
      <c r="C82" s="21">
        <v>1000</v>
      </c>
      <c r="D82" s="21" t="str">
        <f t="shared" si="1"/>
        <v>10005</v>
      </c>
      <c r="E82" s="21">
        <v>79</v>
      </c>
      <c r="F82" s="28" t="s">
        <v>10</v>
      </c>
      <c r="G82" s="29">
        <f>HLOOKUP(mes_ano!$A$1,$H$4:$P$176,E82,0)</f>
        <v>796.26</v>
      </c>
      <c r="H82" s="30">
        <v>797.68</v>
      </c>
      <c r="I82" s="30">
        <v>846.37</v>
      </c>
      <c r="J82" s="30">
        <v>812.54</v>
      </c>
      <c r="K82" s="43">
        <v>794.39</v>
      </c>
      <c r="L82" s="43">
        <f>'[1]Mandioca_2Ciclos_NOVA (2)'!$W$12+'[1]Mandioca_2Ciclos_NOVA (2)'!$W$13</f>
        <v>796.26</v>
      </c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</row>
    <row r="83" spans="1:30" ht="15" x14ac:dyDescent="0.2">
      <c r="A83" s="21" t="str">
        <f t="shared" si="0"/>
        <v>5Despesas de manutenção de benfeitorias</v>
      </c>
      <c r="B83" s="21">
        <v>5</v>
      </c>
      <c r="C83" s="21">
        <v>1000</v>
      </c>
      <c r="D83" s="21" t="str">
        <f t="shared" si="1"/>
        <v>10005</v>
      </c>
      <c r="E83" s="21">
        <v>80</v>
      </c>
      <c r="F83" s="32" t="s">
        <v>12</v>
      </c>
      <c r="G83" s="29">
        <f>HLOOKUP(mes_ano!$A$1,$H$4:$P$176,E83,0)</f>
        <v>133.19</v>
      </c>
      <c r="H83" s="30">
        <v>129.9</v>
      </c>
      <c r="I83" s="30">
        <v>131.49</v>
      </c>
      <c r="J83" s="30">
        <v>130.97999999999999</v>
      </c>
      <c r="K83" s="43">
        <v>133.19</v>
      </c>
      <c r="L83" s="43">
        <f>'[1]Mandioca_2Ciclos_NOVA (2)'!$W$15</f>
        <v>133.19</v>
      </c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 spans="1:30" ht="15" x14ac:dyDescent="0.2">
      <c r="A84" s="21" t="str">
        <f t="shared" si="0"/>
        <v>5Mão-de-obra temporária</v>
      </c>
      <c r="B84" s="21">
        <v>5</v>
      </c>
      <c r="C84" s="21">
        <v>1000</v>
      </c>
      <c r="D84" s="21" t="str">
        <f t="shared" si="1"/>
        <v>10005</v>
      </c>
      <c r="E84" s="21">
        <v>81</v>
      </c>
      <c r="F84" s="32" t="s">
        <v>14</v>
      </c>
      <c r="G84" s="29">
        <f>HLOOKUP(mes_ano!$A$1,$H$4:$P$176,E84,0)</f>
        <v>7094.98</v>
      </c>
      <c r="H84" s="30">
        <v>6425.21</v>
      </c>
      <c r="I84" s="30">
        <v>7122.5</v>
      </c>
      <c r="J84" s="30">
        <v>7220.4</v>
      </c>
      <c r="K84" s="43">
        <v>7248.19</v>
      </c>
      <c r="L84" s="43">
        <f>'[1]Mandioca_2Ciclos_NOVA (2)'!$W$17</f>
        <v>7094.98</v>
      </c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 spans="1:30" ht="15" x14ac:dyDescent="0.2">
      <c r="A85" s="21" t="str">
        <f t="shared" si="0"/>
        <v>5Sementes/Manivas</v>
      </c>
      <c r="B85" s="21">
        <v>5</v>
      </c>
      <c r="C85" s="21">
        <v>1000</v>
      </c>
      <c r="D85" s="21" t="str">
        <f t="shared" si="1"/>
        <v>10005</v>
      </c>
      <c r="E85" s="21">
        <v>82</v>
      </c>
      <c r="F85" s="32" t="s">
        <v>16</v>
      </c>
      <c r="G85" s="29">
        <f>HLOOKUP(mes_ano!$A$1,$H$4:$P$176,E85,0)</f>
        <v>694.21</v>
      </c>
      <c r="H85" s="30">
        <v>545.45000000000005</v>
      </c>
      <c r="I85" s="30">
        <v>545.45000000000005</v>
      </c>
      <c r="J85" s="30">
        <v>644.63</v>
      </c>
      <c r="K85" s="43">
        <v>694.21</v>
      </c>
      <c r="L85" s="43">
        <f>'[1]Mandioca_2Ciclos_NOVA (2)'!$W$19</f>
        <v>694.21</v>
      </c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 spans="1:30" ht="15" x14ac:dyDescent="0.2">
      <c r="A86" s="21" t="str">
        <f t="shared" si="0"/>
        <v>5Fertilizantes</v>
      </c>
      <c r="B86" s="21">
        <v>5</v>
      </c>
      <c r="C86" s="21">
        <v>1000</v>
      </c>
      <c r="D86" s="21" t="str">
        <f t="shared" si="1"/>
        <v>10005</v>
      </c>
      <c r="E86" s="21">
        <v>83</v>
      </c>
      <c r="F86" s="32" t="s">
        <v>18</v>
      </c>
      <c r="G86" s="29">
        <f>HLOOKUP(mes_ano!$A$1,$H$4:$P$176,E86,0)</f>
        <v>942.15</v>
      </c>
      <c r="H86" s="30">
        <v>873.55</v>
      </c>
      <c r="I86" s="30">
        <v>892.56</v>
      </c>
      <c r="J86" s="30">
        <v>939.26</v>
      </c>
      <c r="K86" s="43">
        <v>945.45</v>
      </c>
      <c r="L86" s="43">
        <f>'[1]Mandioca_2Ciclos_NOVA (2)'!$W$20</f>
        <v>942.15</v>
      </c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 spans="1:30" ht="15" x14ac:dyDescent="0.2">
      <c r="A87" s="21" t="str">
        <f t="shared" si="0"/>
        <v>5Agrotóxicos</v>
      </c>
      <c r="B87" s="21">
        <v>5</v>
      </c>
      <c r="C87" s="21">
        <v>1000</v>
      </c>
      <c r="D87" s="21" t="str">
        <f t="shared" si="1"/>
        <v>10005</v>
      </c>
      <c r="E87" s="21">
        <v>84</v>
      </c>
      <c r="F87" s="32" t="s">
        <v>20</v>
      </c>
      <c r="G87" s="29">
        <f>HLOOKUP(mes_ano!$A$1,$H$4:$P$176,E87,0)</f>
        <v>744.59</v>
      </c>
      <c r="H87" s="30">
        <v>743.2</v>
      </c>
      <c r="I87" s="30">
        <v>759.12</v>
      </c>
      <c r="J87" s="30">
        <v>740.1</v>
      </c>
      <c r="K87" s="43">
        <v>718.17</v>
      </c>
      <c r="L87" s="43">
        <f>'[1]Mandioca_2Ciclos_NOVA (2)'!$W$21</f>
        <v>744.59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</row>
    <row r="88" spans="1:30" ht="15" x14ac:dyDescent="0.2">
      <c r="A88" s="21" t="str">
        <f t="shared" si="0"/>
        <v>5Despesas gerais</v>
      </c>
      <c r="B88" s="21">
        <v>5</v>
      </c>
      <c r="C88" s="21">
        <v>1000</v>
      </c>
      <c r="D88" s="21" t="str">
        <f t="shared" si="1"/>
        <v>10005</v>
      </c>
      <c r="E88" s="21">
        <v>85</v>
      </c>
      <c r="F88" s="32" t="s">
        <v>22</v>
      </c>
      <c r="G88" s="29">
        <f>HLOOKUP(mes_ano!$A$1,$H$4:$P$176,E88,0)</f>
        <v>213.67</v>
      </c>
      <c r="H88" s="30">
        <v>195.68</v>
      </c>
      <c r="I88" s="30">
        <v>211.27</v>
      </c>
      <c r="J88" s="30">
        <v>215.12</v>
      </c>
      <c r="K88" s="43">
        <v>216.17</v>
      </c>
      <c r="L88" s="43">
        <f>'[1]Mandioca_2Ciclos_NOVA (2)'!$W$22</f>
        <v>213.67</v>
      </c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</row>
    <row r="89" spans="1:30" ht="15" x14ac:dyDescent="0.2">
      <c r="A89" s="21" t="str">
        <f t="shared" si="0"/>
        <v>5Transporte externo</v>
      </c>
      <c r="B89" s="21">
        <v>5</v>
      </c>
      <c r="C89" s="21">
        <v>1000</v>
      </c>
      <c r="D89" s="21" t="str">
        <f t="shared" si="1"/>
        <v>10005</v>
      </c>
      <c r="E89" s="21">
        <v>86</v>
      </c>
      <c r="F89" s="28" t="s">
        <v>24</v>
      </c>
      <c r="G89" s="29">
        <f>HLOOKUP(mes_ano!$A$1,$H$4:$P$176,E89,0)</f>
        <v>1983.47</v>
      </c>
      <c r="H89" s="30">
        <v>1884.3</v>
      </c>
      <c r="I89" s="30">
        <v>1983.47</v>
      </c>
      <c r="J89" s="30">
        <v>1983.47</v>
      </c>
      <c r="K89" s="43">
        <v>1983.47</v>
      </c>
      <c r="L89" s="43">
        <f>'[1]Mandioca_2Ciclos_NOVA (2)'!$W$23</f>
        <v>1983.47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</row>
    <row r="90" spans="1:30" ht="15" x14ac:dyDescent="0.2">
      <c r="A90" s="21" t="str">
        <f t="shared" si="0"/>
        <v>5Assistência técnica</v>
      </c>
      <c r="B90" s="21">
        <v>5</v>
      </c>
      <c r="C90" s="21">
        <v>1000</v>
      </c>
      <c r="D90" s="21" t="str">
        <f t="shared" si="1"/>
        <v>10005</v>
      </c>
      <c r="E90" s="21">
        <v>87</v>
      </c>
      <c r="F90" s="32" t="s">
        <v>26</v>
      </c>
      <c r="G90" s="29">
        <f>HLOOKUP(mes_ano!$A$1,$H$4:$P$176,E90,0)</f>
        <v>217.94</v>
      </c>
      <c r="H90" s="30">
        <v>199.6</v>
      </c>
      <c r="I90" s="30">
        <v>215.5</v>
      </c>
      <c r="J90" s="30">
        <v>219.42</v>
      </c>
      <c r="K90" s="43">
        <v>220.49</v>
      </c>
      <c r="L90" s="43">
        <f>'[1]Mandioca_2Ciclos_NOVA (2)'!$W$25</f>
        <v>217.94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</row>
    <row r="91" spans="1:30" ht="15" x14ac:dyDescent="0.2">
      <c r="A91" s="21" t="str">
        <f t="shared" si="0"/>
        <v>5PROAGRO/SEGURO</v>
      </c>
      <c r="B91" s="21">
        <v>5</v>
      </c>
      <c r="C91" s="21">
        <v>1000</v>
      </c>
      <c r="D91" s="21" t="str">
        <f t="shared" si="1"/>
        <v>10005</v>
      </c>
      <c r="E91" s="21">
        <v>88</v>
      </c>
      <c r="F91" s="32" t="s">
        <v>28</v>
      </c>
      <c r="G91" s="29" t="str">
        <f>HLOOKUP(mes_ano!$A$1,$H$4:$P$176,E91,0)</f>
        <v>-</v>
      </c>
      <c r="H91" s="30" t="s">
        <v>54</v>
      </c>
      <c r="I91" s="30" t="s">
        <v>54</v>
      </c>
      <c r="J91" s="30" t="s">
        <v>54</v>
      </c>
      <c r="K91" s="43" t="s">
        <v>54</v>
      </c>
      <c r="L91" s="43" t="s">
        <v>54</v>
      </c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</row>
    <row r="92" spans="1:30" ht="15" x14ac:dyDescent="0.2">
      <c r="A92" s="21" t="str">
        <f t="shared" si="0"/>
        <v>5Juros</v>
      </c>
      <c r="B92" s="21">
        <v>5</v>
      </c>
      <c r="C92" s="21">
        <v>1000</v>
      </c>
      <c r="D92" s="21" t="str">
        <f t="shared" si="1"/>
        <v>10005</v>
      </c>
      <c r="E92" s="21">
        <v>89</v>
      </c>
      <c r="F92" s="32" t="s">
        <v>30</v>
      </c>
      <c r="G92" s="29">
        <f>HLOOKUP(mes_ano!$A$1,$H$4:$P$176,E92,0)</f>
        <v>253.42</v>
      </c>
      <c r="H92" s="30">
        <v>237.2</v>
      </c>
      <c r="I92" s="30">
        <v>245.29</v>
      </c>
      <c r="J92" s="30">
        <v>253.06</v>
      </c>
      <c r="K92" s="43">
        <v>252.19</v>
      </c>
      <c r="L92" s="43">
        <f>'[1]Mandioca_2Ciclos_NOVA (2)'!$W$27</f>
        <v>253.42</v>
      </c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</row>
    <row r="93" spans="1:30" ht="15" x14ac:dyDescent="0.2">
      <c r="A93" s="21" t="str">
        <f t="shared" si="0"/>
        <v>5Depreciação de máquinas e implementos</v>
      </c>
      <c r="B93" s="21">
        <v>5</v>
      </c>
      <c r="C93" s="21">
        <v>0</v>
      </c>
      <c r="D93" s="21" t="str">
        <f t="shared" si="1"/>
        <v>05</v>
      </c>
      <c r="E93" s="21">
        <v>90</v>
      </c>
      <c r="F93" s="32" t="s">
        <v>32</v>
      </c>
      <c r="G93" s="29">
        <f>HLOOKUP(mes_ano!$A$1,$H$4:$P$176,E93,0)</f>
        <v>358.8</v>
      </c>
      <c r="H93" s="30">
        <v>373.75</v>
      </c>
      <c r="I93" s="30">
        <v>387.95</v>
      </c>
      <c r="J93" s="30">
        <v>379.11</v>
      </c>
      <c r="K93" s="43">
        <v>381.86</v>
      </c>
      <c r="L93" s="43">
        <f>'[1]Mandioca_2Ciclos_NOVA (2)'!$W$33</f>
        <v>358.8</v>
      </c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</row>
    <row r="94" spans="1:30" ht="15" x14ac:dyDescent="0.2">
      <c r="A94" s="21" t="str">
        <f t="shared" si="0"/>
        <v>5Depreciação de benfeitorias e instalações</v>
      </c>
      <c r="B94" s="21">
        <v>5</v>
      </c>
      <c r="C94" s="21">
        <v>0</v>
      </c>
      <c r="D94" s="21" t="str">
        <f t="shared" si="1"/>
        <v>05</v>
      </c>
      <c r="E94" s="21">
        <v>91</v>
      </c>
      <c r="F94" s="32" t="s">
        <v>33</v>
      </c>
      <c r="G94" s="29">
        <f>HLOOKUP(mes_ano!$A$1,$H$4:$P$176,E94,0)</f>
        <v>47.41</v>
      </c>
      <c r="H94" s="30">
        <v>45.33</v>
      </c>
      <c r="I94" s="30">
        <v>46.18</v>
      </c>
      <c r="J94" s="30">
        <v>46.35</v>
      </c>
      <c r="K94" s="43">
        <v>46.86</v>
      </c>
      <c r="L94" s="43">
        <f>'[1]Mandioca_2Ciclos_NOVA (2)'!$W$34</f>
        <v>47.41</v>
      </c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</row>
    <row r="95" spans="1:30" ht="15" x14ac:dyDescent="0.2">
      <c r="A95" s="21" t="str">
        <f t="shared" si="0"/>
        <v>5Sistematização e correção do solo</v>
      </c>
      <c r="B95" s="21">
        <v>5</v>
      </c>
      <c r="C95" s="21">
        <v>0</v>
      </c>
      <c r="D95" s="21" t="str">
        <f t="shared" si="1"/>
        <v>05</v>
      </c>
      <c r="E95" s="21">
        <v>92</v>
      </c>
      <c r="F95" s="32" t="s">
        <v>34</v>
      </c>
      <c r="G95" s="29">
        <f>HLOOKUP(mes_ano!$A$1,$H$4:$P$176,E95,0)</f>
        <v>828.78</v>
      </c>
      <c r="H95" s="30">
        <v>824.61</v>
      </c>
      <c r="I95" s="30">
        <v>841.59</v>
      </c>
      <c r="J95" s="30">
        <v>820.85</v>
      </c>
      <c r="K95" s="43">
        <v>816.87</v>
      </c>
      <c r="L95" s="43">
        <f>'[1]Mandioca_2Ciclos_NOVA (2)'!$W$35+'[1]Mandioca_2Ciclos_NOVA (2)'!$W$16</f>
        <v>828.78</v>
      </c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</row>
    <row r="96" spans="1:30" ht="15" x14ac:dyDescent="0.2">
      <c r="A96" s="21" t="str">
        <f t="shared" si="0"/>
        <v>5Cultura</v>
      </c>
      <c r="B96" s="21">
        <v>5</v>
      </c>
      <c r="C96" s="21">
        <v>0</v>
      </c>
      <c r="D96" s="21" t="str">
        <f t="shared" si="1"/>
        <v>05</v>
      </c>
      <c r="E96" s="21">
        <v>93</v>
      </c>
      <c r="F96" s="32" t="s">
        <v>35</v>
      </c>
      <c r="G96" s="29" t="str">
        <f>HLOOKUP(mes_ano!$A$1,$H$4:$P$176,E96,0)</f>
        <v>-</v>
      </c>
      <c r="H96" s="30" t="s">
        <v>54</v>
      </c>
      <c r="I96" s="30" t="s">
        <v>54</v>
      </c>
      <c r="J96" s="30" t="s">
        <v>54</v>
      </c>
      <c r="K96" s="43" t="s">
        <v>54</v>
      </c>
      <c r="L96" s="43" t="s">
        <v>54</v>
      </c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</row>
    <row r="97" spans="1:30" ht="15" x14ac:dyDescent="0.2">
      <c r="A97" s="21" t="str">
        <f t="shared" si="0"/>
        <v>5Seguro do capital</v>
      </c>
      <c r="B97" s="21">
        <v>5</v>
      </c>
      <c r="C97" s="21">
        <v>0</v>
      </c>
      <c r="D97" s="21" t="str">
        <f t="shared" si="1"/>
        <v>05</v>
      </c>
      <c r="E97" s="21">
        <v>94</v>
      </c>
      <c r="F97" s="32" t="s">
        <v>36</v>
      </c>
      <c r="G97" s="29">
        <f>HLOOKUP(mes_ano!$A$1,$H$4:$P$176,E97,0)</f>
        <v>31.67</v>
      </c>
      <c r="H97" s="30">
        <v>32.43</v>
      </c>
      <c r="I97" s="30">
        <v>33.22</v>
      </c>
      <c r="J97" s="30">
        <v>32.57</v>
      </c>
      <c r="K97" s="43">
        <v>32.81</v>
      </c>
      <c r="L97" s="43">
        <f>'[1]Mandioca_2Ciclos_NOVA (2)'!$W$41+'[1]Mandioca_2Ciclos_NOVA (2)'!$W$42</f>
        <v>31.67</v>
      </c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</row>
    <row r="98" spans="1:30" ht="15" x14ac:dyDescent="0.2">
      <c r="A98" s="21" t="str">
        <f t="shared" si="0"/>
        <v>5Mão-de-obra permanente</v>
      </c>
      <c r="B98" s="21">
        <v>5</v>
      </c>
      <c r="C98" s="21">
        <v>0</v>
      </c>
      <c r="D98" s="21" t="str">
        <f t="shared" si="1"/>
        <v>05</v>
      </c>
      <c r="E98" s="21">
        <v>95</v>
      </c>
      <c r="F98" s="28" t="s">
        <v>37</v>
      </c>
      <c r="G98" s="29">
        <f>HLOOKUP(mes_ano!$A$1,$H$4:$P$176,E98,0)</f>
        <v>994.67</v>
      </c>
      <c r="H98" s="30">
        <v>919.55</v>
      </c>
      <c r="I98" s="30">
        <v>976.04</v>
      </c>
      <c r="J98" s="30">
        <v>994.05</v>
      </c>
      <c r="K98" s="43">
        <v>998.13</v>
      </c>
      <c r="L98" s="43">
        <f>'[1]Mandioca_2Ciclos_NOVA (2)'!$W$44+'[1]Mandioca_2Ciclos_NOVA (2)'!$W$45</f>
        <v>994.67</v>
      </c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</row>
    <row r="99" spans="1:30" ht="15" x14ac:dyDescent="0.2">
      <c r="A99" s="21" t="str">
        <f t="shared" si="0"/>
        <v>5Remuneração do Capital próprio</v>
      </c>
      <c r="B99" s="21">
        <v>5</v>
      </c>
      <c r="C99" s="21">
        <v>0</v>
      </c>
      <c r="D99" s="21" t="str">
        <f t="shared" si="1"/>
        <v>05</v>
      </c>
      <c r="E99" s="21">
        <v>96</v>
      </c>
      <c r="F99" s="32" t="s">
        <v>39</v>
      </c>
      <c r="G99" s="29">
        <f>HLOOKUP(mes_ano!$A$1,$H$4:$P$176,E99,0)</f>
        <v>221.42</v>
      </c>
      <c r="H99" s="30">
        <v>231.01</v>
      </c>
      <c r="I99" s="30">
        <v>237.63</v>
      </c>
      <c r="J99" s="30">
        <v>231.12</v>
      </c>
      <c r="K99" s="43">
        <v>233.16</v>
      </c>
      <c r="L99" s="43">
        <f>'[1]Mandioca_2Ciclos_NOVA (2)'!$W$38+'[1]Mandioca_2Ciclos_NOVA (2)'!$W$39</f>
        <v>221.42</v>
      </c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</row>
    <row r="100" spans="1:30" ht="15" x14ac:dyDescent="0.2">
      <c r="A100" s="21" t="str">
        <f t="shared" si="0"/>
        <v>5Remuneração da terra</v>
      </c>
      <c r="B100" s="21">
        <v>5</v>
      </c>
      <c r="C100" s="21">
        <v>0</v>
      </c>
      <c r="D100" s="21" t="str">
        <f t="shared" si="1"/>
        <v>05</v>
      </c>
      <c r="E100" s="21">
        <v>97</v>
      </c>
      <c r="F100" s="32" t="s">
        <v>40</v>
      </c>
      <c r="G100" s="29">
        <f>HLOOKUP(mes_ano!$A$1,$H$4:$P$176,E100,0)</f>
        <v>15335.23</v>
      </c>
      <c r="H100" s="30">
        <v>2629.44</v>
      </c>
      <c r="I100" s="30">
        <v>2636.06</v>
      </c>
      <c r="J100" s="30">
        <v>2726.29</v>
      </c>
      <c r="K100" s="43">
        <v>2709.63</v>
      </c>
      <c r="L100" s="43">
        <f>'[1]Mandioca_2Ciclos_NOVA (2)'!$W49</f>
        <v>15335.23</v>
      </c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</row>
    <row r="101" spans="1:30" ht="15" x14ac:dyDescent="0.2">
      <c r="A101" s="21" t="str">
        <f t="shared" si="0"/>
        <v>6Operação de máquinas e implementos</v>
      </c>
      <c r="B101" s="21">
        <v>6</v>
      </c>
      <c r="C101" s="21">
        <v>1000</v>
      </c>
      <c r="D101" s="21" t="str">
        <f t="shared" si="1"/>
        <v>10006</v>
      </c>
      <c r="E101" s="21">
        <v>98</v>
      </c>
      <c r="F101" s="28" t="s">
        <v>10</v>
      </c>
      <c r="G101" s="29">
        <f>HLOOKUP(mes_ano!$A$1,$H$4:$P$176,E101,0)</f>
        <v>343.53999999999996</v>
      </c>
      <c r="H101" s="36">
        <v>342.92</v>
      </c>
      <c r="I101" s="36">
        <v>361.67</v>
      </c>
      <c r="J101" s="36">
        <v>349.32</v>
      </c>
      <c r="K101" s="47">
        <v>343.14</v>
      </c>
      <c r="L101" s="47">
        <f>[1]MILHO_PD_ATUALIZADO!$T$8+[1]MILHO_PD_ATUALIZADO!$T$9</f>
        <v>343.53999999999996</v>
      </c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</row>
    <row r="102" spans="1:30" ht="15" x14ac:dyDescent="0.2">
      <c r="A102" s="21" t="str">
        <f t="shared" si="0"/>
        <v>6Despesas de manutenção de benfeitorias</v>
      </c>
      <c r="B102" s="21">
        <v>6</v>
      </c>
      <c r="C102" s="21">
        <v>1000</v>
      </c>
      <c r="D102" s="21" t="str">
        <f t="shared" si="1"/>
        <v>10006</v>
      </c>
      <c r="E102" s="21">
        <v>99</v>
      </c>
      <c r="F102" s="32" t="s">
        <v>12</v>
      </c>
      <c r="G102" s="29">
        <f>HLOOKUP(mes_ano!$A$1,$H$4:$P$176,E102,0)</f>
        <v>51.49</v>
      </c>
      <c r="H102" s="36">
        <v>49.69</v>
      </c>
      <c r="I102" s="36">
        <v>50.38</v>
      </c>
      <c r="J102" s="36">
        <v>50.53</v>
      </c>
      <c r="K102" s="47">
        <v>51.14</v>
      </c>
      <c r="L102" s="47">
        <f>[1]MILHO_PD_ATUALIZADO!$T$11</f>
        <v>51.49</v>
      </c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</row>
    <row r="103" spans="1:30" ht="15" x14ac:dyDescent="0.2">
      <c r="A103" s="21" t="str">
        <f t="shared" si="0"/>
        <v>6Mão-de-obra temporária</v>
      </c>
      <c r="B103" s="21">
        <v>6</v>
      </c>
      <c r="C103" s="21">
        <v>1000</v>
      </c>
      <c r="D103" s="21" t="str">
        <f t="shared" si="1"/>
        <v>10006</v>
      </c>
      <c r="E103" s="21">
        <v>100</v>
      </c>
      <c r="F103" s="32" t="s">
        <v>14</v>
      </c>
      <c r="G103" s="29">
        <f>HLOOKUP(mes_ano!$A$1,$H$4:$P$176,E103,0)</f>
        <v>62.3</v>
      </c>
      <c r="H103" s="36">
        <v>59.12</v>
      </c>
      <c r="I103" s="36">
        <v>61.56</v>
      </c>
      <c r="J103" s="36">
        <v>63.58</v>
      </c>
      <c r="K103" s="47">
        <v>62.02</v>
      </c>
      <c r="L103" s="47">
        <f>[1]MILHO_PD_ATUALIZADO!$T$13</f>
        <v>62.3</v>
      </c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</row>
    <row r="104" spans="1:30" ht="15" x14ac:dyDescent="0.2">
      <c r="A104" s="21" t="str">
        <f t="shared" si="0"/>
        <v>6Sementes/Manivas</v>
      </c>
      <c r="B104" s="21">
        <v>6</v>
      </c>
      <c r="C104" s="21">
        <v>1000</v>
      </c>
      <c r="D104" s="21" t="str">
        <f t="shared" si="1"/>
        <v>10006</v>
      </c>
      <c r="E104" s="21">
        <v>101</v>
      </c>
      <c r="F104" s="32" t="s">
        <v>16</v>
      </c>
      <c r="G104" s="29">
        <f>HLOOKUP(mes_ano!$A$1,$H$4:$P$176,E104,0)</f>
        <v>1416.95</v>
      </c>
      <c r="H104" s="36">
        <v>1408.56</v>
      </c>
      <c r="I104" s="36">
        <v>1435.3</v>
      </c>
      <c r="J104" s="36">
        <v>1442.24</v>
      </c>
      <c r="K104" s="47">
        <v>1525.92</v>
      </c>
      <c r="L104" s="47">
        <f>[1]MILHO_PD_ATUALIZADO!$T$15</f>
        <v>1416.95</v>
      </c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</row>
    <row r="105" spans="1:30" ht="15" x14ac:dyDescent="0.2">
      <c r="A105" s="21" t="str">
        <f t="shared" si="0"/>
        <v>6Fertilizantes</v>
      </c>
      <c r="B105" s="21">
        <v>6</v>
      </c>
      <c r="C105" s="21">
        <v>1000</v>
      </c>
      <c r="D105" s="21" t="str">
        <f t="shared" si="1"/>
        <v>10006</v>
      </c>
      <c r="E105" s="21">
        <v>102</v>
      </c>
      <c r="F105" s="32" t="s">
        <v>18</v>
      </c>
      <c r="G105" s="29">
        <f>HLOOKUP(mes_ano!$A$1,$H$4:$P$176,E105,0)</f>
        <v>2285</v>
      </c>
      <c r="H105" s="36">
        <v>2018</v>
      </c>
      <c r="I105" s="36">
        <v>2176</v>
      </c>
      <c r="J105" s="36">
        <v>2200</v>
      </c>
      <c r="K105" s="47">
        <v>2291.5</v>
      </c>
      <c r="L105" s="47">
        <f>[1]MILHO_PD_ATUALIZADO!$T$16</f>
        <v>2285</v>
      </c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</row>
    <row r="106" spans="1:30" ht="15" x14ac:dyDescent="0.2">
      <c r="A106" s="21" t="str">
        <f t="shared" si="0"/>
        <v>6Agrotóxicos</v>
      </c>
      <c r="B106" s="21">
        <v>6</v>
      </c>
      <c r="C106" s="21">
        <v>1000</v>
      </c>
      <c r="D106" s="21" t="str">
        <f t="shared" si="1"/>
        <v>10006</v>
      </c>
      <c r="E106" s="21">
        <v>103</v>
      </c>
      <c r="F106" s="32" t="s">
        <v>20</v>
      </c>
      <c r="G106" s="29">
        <f>HLOOKUP(mes_ano!$A$1,$H$4:$P$176,E106,0)</f>
        <v>229.88</v>
      </c>
      <c r="H106" s="36">
        <v>224.57</v>
      </c>
      <c r="I106" s="36">
        <v>233.85</v>
      </c>
      <c r="J106" s="36">
        <v>226.18</v>
      </c>
      <c r="K106" s="47">
        <v>230.93</v>
      </c>
      <c r="L106" s="47">
        <f>[1]MILHO_PD_ATUALIZADO!$T$17</f>
        <v>229.88</v>
      </c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</row>
    <row r="107" spans="1:30" ht="15" x14ac:dyDescent="0.2">
      <c r="A107" s="21" t="str">
        <f t="shared" si="0"/>
        <v>6Despesas gerais</v>
      </c>
      <c r="B107" s="21">
        <v>6</v>
      </c>
      <c r="C107" s="21">
        <v>1000</v>
      </c>
      <c r="D107" s="21" t="str">
        <f t="shared" si="1"/>
        <v>10006</v>
      </c>
      <c r="E107" s="21">
        <v>104</v>
      </c>
      <c r="F107" s="32" t="s">
        <v>22</v>
      </c>
      <c r="G107" s="29">
        <f>HLOOKUP(mes_ano!$A$1,$H$4:$P$176,E107,0)</f>
        <v>87.78</v>
      </c>
      <c r="H107" s="36">
        <v>82.06</v>
      </c>
      <c r="I107" s="36">
        <v>86.38</v>
      </c>
      <c r="J107" s="36">
        <v>86.64</v>
      </c>
      <c r="K107" s="47">
        <v>90.09</v>
      </c>
      <c r="L107" s="47">
        <f>[1]MILHO_PD_ATUALIZADO!$T$19</f>
        <v>87.78</v>
      </c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</row>
    <row r="108" spans="1:30" ht="15" x14ac:dyDescent="0.2">
      <c r="A108" s="21" t="str">
        <f t="shared" si="0"/>
        <v>6Transporte externo</v>
      </c>
      <c r="B108" s="21">
        <v>6</v>
      </c>
      <c r="C108" s="21">
        <v>1000</v>
      </c>
      <c r="D108" s="21" t="str">
        <f t="shared" si="1"/>
        <v>10006</v>
      </c>
      <c r="E108" s="21">
        <v>105</v>
      </c>
      <c r="F108" s="28" t="s">
        <v>24</v>
      </c>
      <c r="G108" s="29">
        <f>HLOOKUP(mes_ano!$A$1,$H$4:$P$176,E108,0)</f>
        <v>480.2</v>
      </c>
      <c r="H108" s="36">
        <v>431.2</v>
      </c>
      <c r="I108" s="36">
        <v>457.8</v>
      </c>
      <c r="J108" s="36">
        <v>478.8</v>
      </c>
      <c r="K108" s="47">
        <v>480.2</v>
      </c>
      <c r="L108" s="47">
        <f>[1]MILHO_PD_ATUALIZADO!$T$20</f>
        <v>480.2</v>
      </c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</row>
    <row r="109" spans="1:30" ht="15" x14ac:dyDescent="0.2">
      <c r="A109" s="21" t="str">
        <f t="shared" si="0"/>
        <v>6Assistência técnica</v>
      </c>
      <c r="B109" s="21">
        <v>6</v>
      </c>
      <c r="C109" s="21">
        <v>1000</v>
      </c>
      <c r="D109" s="21" t="str">
        <f t="shared" si="1"/>
        <v>10006</v>
      </c>
      <c r="E109" s="21">
        <v>106</v>
      </c>
      <c r="F109" s="32" t="s">
        <v>26</v>
      </c>
      <c r="G109" s="29">
        <f>HLOOKUP(mes_ano!$A$1,$H$4:$P$176,E109,0)</f>
        <v>89.54</v>
      </c>
      <c r="H109" s="36">
        <v>83.7</v>
      </c>
      <c r="I109" s="36">
        <v>88.1</v>
      </c>
      <c r="J109" s="36">
        <v>88.37</v>
      </c>
      <c r="K109" s="47">
        <v>91.89</v>
      </c>
      <c r="L109" s="47">
        <f>[1]MILHO_PD_ATUALIZADO!$T$22</f>
        <v>89.54</v>
      </c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</row>
    <row r="110" spans="1:30" ht="15" x14ac:dyDescent="0.2">
      <c r="A110" s="21" t="str">
        <f t="shared" si="0"/>
        <v>6PROAGRO/SEGURO</v>
      </c>
      <c r="B110" s="21">
        <v>6</v>
      </c>
      <c r="C110" s="21">
        <v>1000</v>
      </c>
      <c r="D110" s="21" t="str">
        <f t="shared" si="1"/>
        <v>10006</v>
      </c>
      <c r="E110" s="21">
        <v>107</v>
      </c>
      <c r="F110" s="32" t="s">
        <v>28</v>
      </c>
      <c r="G110" s="29">
        <f>HLOOKUP(mes_ano!$A$1,$H$4:$P$176,E110,0)</f>
        <v>263.35000000000002</v>
      </c>
      <c r="H110" s="36">
        <v>246.17</v>
      </c>
      <c r="I110" s="36">
        <v>259.13</v>
      </c>
      <c r="J110" s="36">
        <v>259.91000000000003</v>
      </c>
      <c r="K110" s="47">
        <v>270.27999999999997</v>
      </c>
      <c r="L110" s="47">
        <f>[1]MILHO_PD_ATUALIZADO!$T$23</f>
        <v>263.35000000000002</v>
      </c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</row>
    <row r="111" spans="1:30" ht="15" x14ac:dyDescent="0.2">
      <c r="A111" s="21" t="str">
        <f t="shared" si="0"/>
        <v>6Juros</v>
      </c>
      <c r="B111" s="21">
        <v>6</v>
      </c>
      <c r="C111" s="21">
        <v>1000</v>
      </c>
      <c r="D111" s="21" t="str">
        <f t="shared" si="1"/>
        <v>10006</v>
      </c>
      <c r="E111" s="21">
        <v>108</v>
      </c>
      <c r="F111" s="32" t="s">
        <v>30</v>
      </c>
      <c r="G111" s="29">
        <f>HLOOKUP(mes_ano!$A$1,$H$4:$P$176,E111,0)</f>
        <v>162.18</v>
      </c>
      <c r="H111" s="36">
        <v>152.05000000000001</v>
      </c>
      <c r="I111" s="36">
        <v>160.01</v>
      </c>
      <c r="J111" s="36">
        <v>160.93</v>
      </c>
      <c r="K111" s="47">
        <v>167.36</v>
      </c>
      <c r="L111" s="47">
        <f>[1]MILHO_PD_ATUALIZADO!$T$24</f>
        <v>162.18</v>
      </c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</row>
    <row r="112" spans="1:30" ht="15" x14ac:dyDescent="0.2">
      <c r="A112" s="21" t="str">
        <f t="shared" si="0"/>
        <v>6Depreciação de máquinas e implementos</v>
      </c>
      <c r="B112" s="21">
        <v>6</v>
      </c>
      <c r="C112" s="21">
        <v>0</v>
      </c>
      <c r="D112" s="21" t="str">
        <f t="shared" si="1"/>
        <v>06</v>
      </c>
      <c r="E112" s="21">
        <v>109</v>
      </c>
      <c r="F112" s="32" t="s">
        <v>32</v>
      </c>
      <c r="G112" s="29">
        <f>HLOOKUP(mes_ano!$A$1,$H$4:$P$176,E112,0)</f>
        <v>438.8</v>
      </c>
      <c r="H112" s="36">
        <v>438.25</v>
      </c>
      <c r="I112" s="36">
        <v>444.78</v>
      </c>
      <c r="J112" s="36">
        <v>444.28</v>
      </c>
      <c r="K112" s="47">
        <v>450.77</v>
      </c>
      <c r="L112" s="47">
        <f>[1]MILHO_PD_ATUALIZADO!$T$29</f>
        <v>438.8</v>
      </c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</row>
    <row r="113" spans="1:30" ht="15" x14ac:dyDescent="0.2">
      <c r="A113" s="21" t="str">
        <f t="shared" si="0"/>
        <v>6Depreciação de benfeitorias e instalações</v>
      </c>
      <c r="B113" s="21">
        <v>6</v>
      </c>
      <c r="C113" s="21">
        <v>0</v>
      </c>
      <c r="D113" s="21" t="str">
        <f t="shared" si="1"/>
        <v>06</v>
      </c>
      <c r="E113" s="21">
        <v>110</v>
      </c>
      <c r="F113" s="32" t="s">
        <v>33</v>
      </c>
      <c r="G113" s="29">
        <f>HLOOKUP(mes_ano!$A$1,$H$4:$P$176,E113,0)</f>
        <v>75.16</v>
      </c>
      <c r="H113" s="36">
        <v>72.59</v>
      </c>
      <c r="I113" s="36">
        <v>73.61</v>
      </c>
      <c r="J113" s="36">
        <v>73.78</v>
      </c>
      <c r="K113" s="47">
        <v>74.69</v>
      </c>
      <c r="L113" s="47">
        <f>[1]MILHO_PD_ATUALIZADO!$T$31</f>
        <v>75.16</v>
      </c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</row>
    <row r="114" spans="1:30" ht="15" x14ac:dyDescent="0.2">
      <c r="A114" s="21" t="str">
        <f t="shared" si="0"/>
        <v>6Sistematização e correção do solo</v>
      </c>
      <c r="B114" s="21">
        <v>6</v>
      </c>
      <c r="C114" s="21">
        <v>0</v>
      </c>
      <c r="D114" s="21" t="str">
        <f t="shared" si="1"/>
        <v>06</v>
      </c>
      <c r="E114" s="21">
        <v>111</v>
      </c>
      <c r="F114" s="32" t="s">
        <v>34</v>
      </c>
      <c r="G114" s="29">
        <f>HLOOKUP(mes_ano!$A$1,$H$4:$P$176,E114,0)</f>
        <v>161.47999999999999</v>
      </c>
      <c r="H114" s="36">
        <v>158.06</v>
      </c>
      <c r="I114" s="36">
        <v>160.43</v>
      </c>
      <c r="J114" s="36">
        <v>159.33000000000001</v>
      </c>
      <c r="K114" s="47">
        <v>154.5</v>
      </c>
      <c r="L114" s="47">
        <f>[1]MILHO_PD_ATUALIZADO!$T$32</f>
        <v>161.47999999999999</v>
      </c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 spans="1:30" ht="15" x14ac:dyDescent="0.2">
      <c r="A115" s="21" t="str">
        <f t="shared" si="0"/>
        <v>6Cultura</v>
      </c>
      <c r="B115" s="21">
        <v>6</v>
      </c>
      <c r="C115" s="21">
        <v>0</v>
      </c>
      <c r="D115" s="21" t="str">
        <f t="shared" si="1"/>
        <v>06</v>
      </c>
      <c r="E115" s="21">
        <v>112</v>
      </c>
      <c r="F115" s="32" t="s">
        <v>35</v>
      </c>
      <c r="G115" s="29" t="str">
        <f>HLOOKUP(mes_ano!$A$1,$H$4:$P$176,E115,0)</f>
        <v>-</v>
      </c>
      <c r="H115" s="36" t="s">
        <v>54</v>
      </c>
      <c r="I115" s="36" t="s">
        <v>54</v>
      </c>
      <c r="J115" s="36" t="s">
        <v>54</v>
      </c>
      <c r="K115" s="47" t="s">
        <v>54</v>
      </c>
      <c r="L115" s="47" t="s">
        <v>54</v>
      </c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</row>
    <row r="116" spans="1:30" ht="15" x14ac:dyDescent="0.2">
      <c r="A116" s="21" t="str">
        <f t="shared" si="0"/>
        <v>6Seguro do capital</v>
      </c>
      <c r="B116" s="21">
        <v>6</v>
      </c>
      <c r="C116" s="21">
        <v>0</v>
      </c>
      <c r="D116" s="21" t="str">
        <f t="shared" si="1"/>
        <v>06</v>
      </c>
      <c r="E116" s="21">
        <v>113</v>
      </c>
      <c r="F116" s="32" t="s">
        <v>36</v>
      </c>
      <c r="G116" s="29">
        <f>HLOOKUP(mes_ano!$A$1,$H$4:$P$176,E116,0)</f>
        <v>48.14</v>
      </c>
      <c r="H116" s="36">
        <v>47.41</v>
      </c>
      <c r="I116" s="36">
        <v>48.12</v>
      </c>
      <c r="J116" s="36">
        <v>48.09</v>
      </c>
      <c r="K116" s="47">
        <v>48.82</v>
      </c>
      <c r="L116" s="47">
        <f>[1]MILHO_PD_ATUALIZADO!$T$38+[1]MILHO_PD_ATUALIZADO!$T$39</f>
        <v>48.14</v>
      </c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</row>
    <row r="117" spans="1:30" ht="15" x14ac:dyDescent="0.2">
      <c r="A117" s="21" t="str">
        <f t="shared" si="0"/>
        <v>6Mão-de-obra permanente</v>
      </c>
      <c r="B117" s="21">
        <v>6</v>
      </c>
      <c r="C117" s="21">
        <v>0</v>
      </c>
      <c r="D117" s="21" t="str">
        <f t="shared" si="1"/>
        <v>06</v>
      </c>
      <c r="E117" s="21">
        <v>114</v>
      </c>
      <c r="F117" s="28" t="s">
        <v>37</v>
      </c>
      <c r="G117" s="29">
        <f>HLOOKUP(mes_ano!$A$1,$H$4:$P$176,E117,0)</f>
        <v>387.65</v>
      </c>
      <c r="H117" s="36">
        <v>361.5</v>
      </c>
      <c r="I117" s="36">
        <v>378.26</v>
      </c>
      <c r="J117" s="36">
        <v>382.14</v>
      </c>
      <c r="K117" s="47">
        <v>394.28</v>
      </c>
      <c r="L117" s="47">
        <f>[1]MILHO_PD_ATUALIZADO!$T$41+[1]MILHO_PD_ATUALIZADO!$T$42</f>
        <v>387.65</v>
      </c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</row>
    <row r="118" spans="1:30" ht="15" x14ac:dyDescent="0.2">
      <c r="A118" s="21" t="str">
        <f t="shared" si="0"/>
        <v>6Remuneração do Capital próprio</v>
      </c>
      <c r="B118" s="21">
        <v>6</v>
      </c>
      <c r="C118" s="21">
        <v>0</v>
      </c>
      <c r="D118" s="21" t="str">
        <f t="shared" si="1"/>
        <v>06</v>
      </c>
      <c r="E118" s="21">
        <v>115</v>
      </c>
      <c r="F118" s="32" t="s">
        <v>39</v>
      </c>
      <c r="G118" s="29">
        <f>HLOOKUP(mes_ano!$A$1,$H$4:$P$176,E118,0)</f>
        <v>325.02</v>
      </c>
      <c r="H118" s="36">
        <v>320.94</v>
      </c>
      <c r="I118" s="36">
        <v>325.74</v>
      </c>
      <c r="J118" s="36">
        <v>325.45999999999998</v>
      </c>
      <c r="K118" s="47">
        <v>330.44</v>
      </c>
      <c r="L118" s="47">
        <f>[1]MILHO_PD_ATUALIZADO!$T$35+[1]MILHO_PD_ATUALIZADO!$T$36</f>
        <v>325.02</v>
      </c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</row>
    <row r="119" spans="1:30" ht="15" x14ac:dyDescent="0.2">
      <c r="A119" s="21" t="str">
        <f t="shared" si="0"/>
        <v>6Remuneração da terra</v>
      </c>
      <c r="B119" s="21">
        <v>6</v>
      </c>
      <c r="C119" s="21">
        <v>0</v>
      </c>
      <c r="D119" s="21" t="str">
        <f t="shared" si="1"/>
        <v>06</v>
      </c>
      <c r="E119" s="21">
        <v>116</v>
      </c>
      <c r="F119" s="32" t="s">
        <v>40</v>
      </c>
      <c r="G119" s="29">
        <f>HLOOKUP(mes_ano!$A$1,$H$4:$P$176,E119,0)</f>
        <v>1441.69</v>
      </c>
      <c r="H119" s="36">
        <v>1378.66</v>
      </c>
      <c r="I119" s="36">
        <v>1404.95</v>
      </c>
      <c r="J119" s="36">
        <v>1453.92</v>
      </c>
      <c r="K119" s="47">
        <v>1452.49</v>
      </c>
      <c r="L119" s="47">
        <f>[1]MILHO_PD_ATUALIZADO!$T$43</f>
        <v>1441.69</v>
      </c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</row>
    <row r="120" spans="1:30" ht="15" x14ac:dyDescent="0.2">
      <c r="A120" s="21" t="str">
        <f t="shared" si="0"/>
        <v>7Operação de máquinas e implementos</v>
      </c>
      <c r="B120" s="21">
        <v>7</v>
      </c>
      <c r="C120" s="21">
        <v>1000</v>
      </c>
      <c r="D120" s="21" t="str">
        <f t="shared" si="1"/>
        <v>10007</v>
      </c>
      <c r="E120" s="21">
        <v>117</v>
      </c>
      <c r="F120" s="37" t="s">
        <v>10</v>
      </c>
      <c r="G120" s="29">
        <f>HLOOKUP(mes_ano!$A$1,$H$4:$P$176,E120,0)</f>
        <v>303.39</v>
      </c>
      <c r="H120" s="38">
        <v>303.11</v>
      </c>
      <c r="I120" s="38">
        <v>319.67</v>
      </c>
      <c r="J120" s="38">
        <v>308.61</v>
      </c>
      <c r="K120" s="48">
        <v>302.73</v>
      </c>
      <c r="L120" s="48">
        <f>[1]Milho_saf_pd!$T$9+[1]Milho_saf_pd!$T$10</f>
        <v>303.39</v>
      </c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</row>
    <row r="121" spans="1:30" ht="15" x14ac:dyDescent="0.2">
      <c r="A121" s="21" t="str">
        <f t="shared" si="0"/>
        <v>7Despesas de manutenção de benfeitorias</v>
      </c>
      <c r="B121" s="21">
        <v>7</v>
      </c>
      <c r="C121" s="21">
        <v>1000</v>
      </c>
      <c r="D121" s="21" t="str">
        <f t="shared" si="1"/>
        <v>10007</v>
      </c>
      <c r="E121" s="21">
        <v>118</v>
      </c>
      <c r="F121" s="39" t="s">
        <v>12</v>
      </c>
      <c r="G121" s="29">
        <f>HLOOKUP(mes_ano!$A$1,$H$4:$P$176,E121,0)</f>
        <v>73.55</v>
      </c>
      <c r="H121" s="38">
        <v>70.989999999999995</v>
      </c>
      <c r="I121" s="38">
        <v>71.97</v>
      </c>
      <c r="J121" s="38">
        <v>72.19</v>
      </c>
      <c r="K121" s="48">
        <v>73.05</v>
      </c>
      <c r="L121" s="48">
        <f>[1]Milho_saf_pd!$T$12</f>
        <v>73.55</v>
      </c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 spans="1:30" ht="15" x14ac:dyDescent="0.2">
      <c r="A122" s="21" t="str">
        <f t="shared" si="0"/>
        <v>7Mão-de-obra temporária</v>
      </c>
      <c r="B122" s="21">
        <v>7</v>
      </c>
      <c r="C122" s="21">
        <v>1000</v>
      </c>
      <c r="D122" s="21" t="str">
        <f t="shared" si="1"/>
        <v>10007</v>
      </c>
      <c r="E122" s="21">
        <v>119</v>
      </c>
      <c r="F122" s="39" t="s">
        <v>14</v>
      </c>
      <c r="G122" s="29">
        <f>HLOOKUP(mes_ano!$A$1,$H$4:$P$176,E122,0)</f>
        <v>54.51</v>
      </c>
      <c r="H122" s="38">
        <v>51.73</v>
      </c>
      <c r="I122" s="38">
        <v>53.87</v>
      </c>
      <c r="J122" s="38">
        <v>55.64</v>
      </c>
      <c r="K122" s="48">
        <v>54.27</v>
      </c>
      <c r="L122" s="48">
        <f>[1]Milho_saf_pd!$T$14</f>
        <v>54.51</v>
      </c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</row>
    <row r="123" spans="1:30" ht="15" x14ac:dyDescent="0.2">
      <c r="A123" s="21" t="str">
        <f t="shared" si="0"/>
        <v>7Sementes/Manivas</v>
      </c>
      <c r="B123" s="21">
        <v>7</v>
      </c>
      <c r="C123" s="21">
        <v>1000</v>
      </c>
      <c r="D123" s="21" t="str">
        <f t="shared" si="1"/>
        <v>10007</v>
      </c>
      <c r="E123" s="21">
        <v>120</v>
      </c>
      <c r="F123" s="39" t="s">
        <v>16</v>
      </c>
      <c r="G123" s="29">
        <f>HLOOKUP(mes_ano!$A$1,$H$4:$P$176,E123,0)</f>
        <v>1180.79</v>
      </c>
      <c r="H123" s="38">
        <v>1173.8</v>
      </c>
      <c r="I123" s="38">
        <v>1196.08</v>
      </c>
      <c r="J123" s="38">
        <v>1201.8699999999999</v>
      </c>
      <c r="K123" s="48">
        <v>1271.5999999999999</v>
      </c>
      <c r="L123" s="48">
        <f>[1]Milho_saf_pd!$T$16</f>
        <v>1180.79</v>
      </c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 spans="1:30" ht="15" x14ac:dyDescent="0.2">
      <c r="A124" s="21" t="str">
        <f t="shared" si="0"/>
        <v>7Fertilizantes</v>
      </c>
      <c r="B124" s="21">
        <v>7</v>
      </c>
      <c r="C124" s="21">
        <v>1000</v>
      </c>
      <c r="D124" s="21" t="str">
        <f t="shared" si="1"/>
        <v>10007</v>
      </c>
      <c r="E124" s="21">
        <v>121</v>
      </c>
      <c r="F124" s="39" t="s">
        <v>18</v>
      </c>
      <c r="G124" s="29">
        <f>HLOOKUP(mes_ano!$A$1,$H$4:$P$176,E124,0)</f>
        <v>532.5</v>
      </c>
      <c r="H124" s="38">
        <v>466.5</v>
      </c>
      <c r="I124" s="38">
        <v>510</v>
      </c>
      <c r="J124" s="38">
        <v>516</v>
      </c>
      <c r="K124" s="48">
        <v>529.5</v>
      </c>
      <c r="L124" s="48">
        <f>[1]Milho_saf_pd!$T$17</f>
        <v>532.5</v>
      </c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ht="15" x14ac:dyDescent="0.2">
      <c r="A125" s="21" t="str">
        <f t="shared" si="0"/>
        <v>7Agrotóxicos</v>
      </c>
      <c r="B125" s="21">
        <v>7</v>
      </c>
      <c r="C125" s="21">
        <v>1000</v>
      </c>
      <c r="D125" s="21" t="str">
        <f t="shared" si="1"/>
        <v>10007</v>
      </c>
      <c r="E125" s="21">
        <v>122</v>
      </c>
      <c r="F125" s="39" t="s">
        <v>20</v>
      </c>
      <c r="G125" s="29">
        <f>HLOOKUP(mes_ano!$A$1,$H$4:$P$176,E125,0)</f>
        <v>245.22</v>
      </c>
      <c r="H125" s="38">
        <v>241.84</v>
      </c>
      <c r="I125" s="38">
        <v>251.31</v>
      </c>
      <c r="J125" s="38">
        <v>241.78</v>
      </c>
      <c r="K125" s="48">
        <v>241.77</v>
      </c>
      <c r="L125" s="48">
        <f>[1]Milho_saf_pd!$T$18</f>
        <v>245.22</v>
      </c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</row>
    <row r="126" spans="1:30" ht="15" x14ac:dyDescent="0.2">
      <c r="A126" s="21" t="str">
        <f t="shared" si="0"/>
        <v>7Despesas gerais</v>
      </c>
      <c r="B126" s="21">
        <v>7</v>
      </c>
      <c r="C126" s="21">
        <v>1000</v>
      </c>
      <c r="D126" s="21" t="str">
        <f t="shared" si="1"/>
        <v>10007</v>
      </c>
      <c r="E126" s="21">
        <v>123</v>
      </c>
      <c r="F126" s="39" t="s">
        <v>22</v>
      </c>
      <c r="G126" s="29">
        <f>HLOOKUP(mes_ano!$A$1,$H$4:$P$176,E126,0)</f>
        <v>47.8</v>
      </c>
      <c r="H126" s="38">
        <v>46.16</v>
      </c>
      <c r="I126" s="38">
        <v>48.06</v>
      </c>
      <c r="J126" s="38">
        <v>47.92</v>
      </c>
      <c r="K126" s="48">
        <v>49.46</v>
      </c>
      <c r="L126" s="48">
        <f>[1]Milho_saf_pd!$T$20</f>
        <v>47.8</v>
      </c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</row>
    <row r="127" spans="1:30" ht="15" x14ac:dyDescent="0.2">
      <c r="A127" s="21" t="str">
        <f t="shared" si="0"/>
        <v>7Transporte externo</v>
      </c>
      <c r="B127" s="21">
        <v>7</v>
      </c>
      <c r="C127" s="21">
        <v>1000</v>
      </c>
      <c r="D127" s="21" t="str">
        <f t="shared" si="1"/>
        <v>10007</v>
      </c>
      <c r="E127" s="21">
        <v>124</v>
      </c>
      <c r="F127" s="37" t="s">
        <v>24</v>
      </c>
      <c r="G127" s="29">
        <f>HLOOKUP(mes_ano!$A$1,$H$4:$P$176,E127,0)</f>
        <v>274.39999999999998</v>
      </c>
      <c r="H127" s="38">
        <v>246.4</v>
      </c>
      <c r="I127" s="38">
        <v>261.60000000000002</v>
      </c>
      <c r="J127" s="38">
        <v>273.60000000000002</v>
      </c>
      <c r="K127" s="48">
        <v>274.39999999999998</v>
      </c>
      <c r="L127" s="48">
        <f>[1]Milho_saf_pd!$T$21</f>
        <v>274.39999999999998</v>
      </c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</row>
    <row r="128" spans="1:30" ht="15" x14ac:dyDescent="0.2">
      <c r="A128" s="21" t="str">
        <f t="shared" si="0"/>
        <v>7Assistência técnica</v>
      </c>
      <c r="B128" s="21">
        <v>7</v>
      </c>
      <c r="C128" s="21">
        <v>1000</v>
      </c>
      <c r="D128" s="21" t="str">
        <f t="shared" si="1"/>
        <v>10007</v>
      </c>
      <c r="E128" s="21">
        <v>125</v>
      </c>
      <c r="F128" s="39" t="s">
        <v>26</v>
      </c>
      <c r="G128" s="29">
        <f>HLOOKUP(mes_ano!$A$1,$H$4:$P$176,E128,0)</f>
        <v>48.76</v>
      </c>
      <c r="H128" s="38">
        <v>47.08</v>
      </c>
      <c r="I128" s="38">
        <v>49.02</v>
      </c>
      <c r="J128" s="38">
        <v>48.88</v>
      </c>
      <c r="K128" s="48">
        <v>50.45</v>
      </c>
      <c r="L128" s="48">
        <f>[1]Milho_saf_pd!$T$23</f>
        <v>48.76</v>
      </c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</row>
    <row r="129" spans="1:30" ht="15" x14ac:dyDescent="0.2">
      <c r="A129" s="21" t="str">
        <f t="shared" si="0"/>
        <v>7PROAGRO/SEGURO</v>
      </c>
      <c r="B129" s="21">
        <v>7</v>
      </c>
      <c r="C129" s="21">
        <v>1000</v>
      </c>
      <c r="D129" s="21" t="str">
        <f t="shared" si="1"/>
        <v>10007</v>
      </c>
      <c r="E129" s="21">
        <v>126</v>
      </c>
      <c r="F129" s="39" t="s">
        <v>28</v>
      </c>
      <c r="G129" s="29">
        <f>HLOOKUP(mes_ano!$A$1,$H$4:$P$176,E129,0)</f>
        <v>215.1</v>
      </c>
      <c r="H129" s="38">
        <v>207.72</v>
      </c>
      <c r="I129" s="38">
        <v>216.26</v>
      </c>
      <c r="J129" s="38">
        <v>215.65</v>
      </c>
      <c r="K129" s="48">
        <v>222.56</v>
      </c>
      <c r="L129" s="48">
        <f>[1]Milho_saf_pd!$T$24</f>
        <v>215.1</v>
      </c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</row>
    <row r="130" spans="1:30" ht="15" x14ac:dyDescent="0.2">
      <c r="A130" s="21" t="str">
        <f t="shared" si="0"/>
        <v>7Juros</v>
      </c>
      <c r="B130" s="21">
        <v>7</v>
      </c>
      <c r="C130" s="21">
        <v>1000</v>
      </c>
      <c r="D130" s="21" t="str">
        <f t="shared" si="1"/>
        <v>10007</v>
      </c>
      <c r="E130" s="21">
        <v>127</v>
      </c>
      <c r="F130" s="39" t="s">
        <v>30</v>
      </c>
      <c r="G130" s="29">
        <f>HLOOKUP(mes_ano!$A$1,$H$4:$P$176,E130,0)</f>
        <v>122.15</v>
      </c>
      <c r="H130" s="38">
        <v>116.93</v>
      </c>
      <c r="I130" s="38">
        <v>123.01</v>
      </c>
      <c r="J130" s="38">
        <v>123.45</v>
      </c>
      <c r="K130" s="48">
        <v>127.35</v>
      </c>
      <c r="L130" s="48">
        <f>[1]Milho_saf_pd!$T$25</f>
        <v>122.15</v>
      </c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</row>
    <row r="131" spans="1:30" ht="15" x14ac:dyDescent="0.2">
      <c r="A131" s="21" t="str">
        <f t="shared" si="0"/>
        <v>7Depreciação de máquinas e implementos</v>
      </c>
      <c r="B131" s="21">
        <v>7</v>
      </c>
      <c r="C131" s="21">
        <v>0</v>
      </c>
      <c r="D131" s="21" t="str">
        <f t="shared" si="1"/>
        <v>07</v>
      </c>
      <c r="E131" s="21">
        <v>128</v>
      </c>
      <c r="F131" s="39" t="s">
        <v>32</v>
      </c>
      <c r="G131" s="29">
        <f>HLOOKUP(mes_ano!$A$1,$H$4:$P$176,E131,0)</f>
        <v>366.63</v>
      </c>
      <c r="H131" s="38">
        <v>368.42</v>
      </c>
      <c r="I131" s="38">
        <v>372.61</v>
      </c>
      <c r="J131" s="38">
        <v>372.13</v>
      </c>
      <c r="K131" s="48">
        <v>375.44</v>
      </c>
      <c r="L131" s="48">
        <f>[1]Milho_saf_pd!$T$29</f>
        <v>366.63</v>
      </c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</row>
    <row r="132" spans="1:30" ht="15" x14ac:dyDescent="0.2">
      <c r="A132" s="21" t="str">
        <f t="shared" si="0"/>
        <v>7Depreciação de benfeitorias e instalações</v>
      </c>
      <c r="B132" s="21">
        <v>7</v>
      </c>
      <c r="C132" s="21">
        <v>0</v>
      </c>
      <c r="D132" s="21" t="str">
        <f t="shared" si="1"/>
        <v>07</v>
      </c>
      <c r="E132" s="21">
        <v>129</v>
      </c>
      <c r="F132" s="39" t="s">
        <v>33</v>
      </c>
      <c r="G132" s="29">
        <f>HLOOKUP(mes_ano!$A$1,$H$4:$P$176,E132,0)</f>
        <v>98.06</v>
      </c>
      <c r="H132" s="38">
        <v>94.64</v>
      </c>
      <c r="I132" s="38">
        <v>95.97</v>
      </c>
      <c r="J132" s="38">
        <v>96.26</v>
      </c>
      <c r="K132" s="48">
        <v>97.4</v>
      </c>
      <c r="L132" s="48">
        <f>[1]Milho_saf_pd!$T$30</f>
        <v>98.06</v>
      </c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</row>
    <row r="133" spans="1:30" ht="15" x14ac:dyDescent="0.2">
      <c r="A133" s="21" t="str">
        <f t="shared" si="0"/>
        <v>7Sistematização e correção do solo</v>
      </c>
      <c r="B133" s="21">
        <v>7</v>
      </c>
      <c r="C133" s="21">
        <v>0</v>
      </c>
      <c r="D133" s="21" t="str">
        <f t="shared" si="1"/>
        <v>07</v>
      </c>
      <c r="E133" s="21">
        <v>130</v>
      </c>
      <c r="F133" s="39" t="s">
        <v>34</v>
      </c>
      <c r="G133" s="29">
        <f>HLOOKUP(mes_ano!$A$1,$H$4:$P$176,E133,0)</f>
        <v>161.47999999999999</v>
      </c>
      <c r="H133" s="38">
        <v>158.06</v>
      </c>
      <c r="I133" s="38">
        <v>160.43</v>
      </c>
      <c r="J133" s="38">
        <v>159.33000000000001</v>
      </c>
      <c r="K133" s="48">
        <v>154.5</v>
      </c>
      <c r="L133" s="48">
        <f>[1]Milho_saf_pd!$T$31</f>
        <v>161.47999999999999</v>
      </c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</row>
    <row r="134" spans="1:30" ht="15" x14ac:dyDescent="0.2">
      <c r="A134" s="21" t="str">
        <f t="shared" si="0"/>
        <v>7Cultura</v>
      </c>
      <c r="B134" s="21">
        <v>7</v>
      </c>
      <c r="C134" s="21">
        <v>0</v>
      </c>
      <c r="D134" s="21" t="str">
        <f t="shared" si="1"/>
        <v>07</v>
      </c>
      <c r="E134" s="21">
        <v>131</v>
      </c>
      <c r="F134" s="39" t="s">
        <v>35</v>
      </c>
      <c r="G134" s="29" t="str">
        <f>HLOOKUP(mes_ano!$A$1,$H$4:$P$176,E134,0)</f>
        <v>-</v>
      </c>
      <c r="H134" s="38" t="s">
        <v>54</v>
      </c>
      <c r="I134" s="38" t="s">
        <v>54</v>
      </c>
      <c r="J134" s="38" t="s">
        <v>54</v>
      </c>
      <c r="K134" s="48" t="s">
        <v>54</v>
      </c>
      <c r="L134" s="48" t="s">
        <v>54</v>
      </c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</row>
    <row r="135" spans="1:30" ht="15" x14ac:dyDescent="0.2">
      <c r="A135" s="21" t="str">
        <f t="shared" si="0"/>
        <v>7Seguro do capital</v>
      </c>
      <c r="B135" s="21">
        <v>7</v>
      </c>
      <c r="C135" s="21">
        <v>0</v>
      </c>
      <c r="D135" s="21" t="str">
        <f t="shared" si="1"/>
        <v>07</v>
      </c>
      <c r="E135" s="21">
        <v>132</v>
      </c>
      <c r="F135" s="39" t="s">
        <v>36</v>
      </c>
      <c r="G135" s="29">
        <f>HLOOKUP(mes_ano!$A$1,$H$4:$P$176,E135,0)</f>
        <v>48.25</v>
      </c>
      <c r="H135" s="38">
        <v>47.45</v>
      </c>
      <c r="I135" s="38">
        <v>48.07</v>
      </c>
      <c r="J135" s="38">
        <v>48.08</v>
      </c>
      <c r="K135" s="48">
        <v>48.62</v>
      </c>
      <c r="L135" s="48">
        <f>[1]Milho_saf_pd!$T$37+[1]Milho_saf_pd!$T$38</f>
        <v>48.25</v>
      </c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</row>
    <row r="136" spans="1:30" ht="15" x14ac:dyDescent="0.2">
      <c r="A136" s="21" t="str">
        <f t="shared" si="0"/>
        <v>7Mão-de-obra permanente</v>
      </c>
      <c r="B136" s="21">
        <v>7</v>
      </c>
      <c r="C136" s="21">
        <v>0</v>
      </c>
      <c r="D136" s="21" t="str">
        <f t="shared" si="1"/>
        <v>07</v>
      </c>
      <c r="E136" s="21">
        <v>133</v>
      </c>
      <c r="F136" s="37" t="s">
        <v>37</v>
      </c>
      <c r="G136" s="29">
        <f>HLOOKUP(mes_ano!$A$1,$H$4:$P$176,E136,0)</f>
        <v>238.5</v>
      </c>
      <c r="H136" s="38">
        <v>227.67</v>
      </c>
      <c r="I136" s="38">
        <v>235.76</v>
      </c>
      <c r="J136" s="38">
        <v>237.55</v>
      </c>
      <c r="K136" s="48">
        <v>243.28</v>
      </c>
      <c r="L136" s="48">
        <f>[1]Milho_saf_pd!$T$40+[1]Milho_saf_pd!$T$41</f>
        <v>238.5</v>
      </c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</row>
    <row r="137" spans="1:30" ht="15" x14ac:dyDescent="0.2">
      <c r="A137" s="21" t="str">
        <f t="shared" si="0"/>
        <v>7Remuneração do Capital próprio</v>
      </c>
      <c r="B137" s="21">
        <v>7</v>
      </c>
      <c r="C137" s="21">
        <v>0</v>
      </c>
      <c r="D137" s="21" t="str">
        <f t="shared" si="1"/>
        <v>07</v>
      </c>
      <c r="E137" s="21">
        <v>134</v>
      </c>
      <c r="F137" s="39" t="s">
        <v>39</v>
      </c>
      <c r="G137" s="29">
        <f>HLOOKUP(mes_ano!$A$1,$H$4:$P$176,E137,0)</f>
        <v>311.89</v>
      </c>
      <c r="H137" s="38">
        <v>307.79000000000002</v>
      </c>
      <c r="I137" s="38">
        <v>311.70999999999998</v>
      </c>
      <c r="J137" s="38">
        <v>311.66000000000003</v>
      </c>
      <c r="K137" s="48">
        <v>315.14</v>
      </c>
      <c r="L137" s="48">
        <f>[1]Milho_saf_pd!$T$34+[1]Milho_saf_pd!$T$35</f>
        <v>311.89</v>
      </c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</row>
    <row r="138" spans="1:30" ht="15" x14ac:dyDescent="0.2">
      <c r="A138" s="21" t="str">
        <f t="shared" si="0"/>
        <v>7Remuneração da terra</v>
      </c>
      <c r="B138" s="21">
        <v>7</v>
      </c>
      <c r="C138" s="21">
        <v>0</v>
      </c>
      <c r="D138" s="21" t="str">
        <f t="shared" si="1"/>
        <v>07</v>
      </c>
      <c r="E138" s="21">
        <v>135</v>
      </c>
      <c r="F138" s="39" t="s">
        <v>40</v>
      </c>
      <c r="G138" s="29">
        <f>HLOOKUP(mes_ano!$A$1,$H$4:$P$176,E138,0)</f>
        <v>1441.69</v>
      </c>
      <c r="H138" s="38">
        <v>1378.66</v>
      </c>
      <c r="I138" s="38">
        <v>1404.95</v>
      </c>
      <c r="J138" s="38">
        <v>1453.92</v>
      </c>
      <c r="K138" s="48">
        <v>1452.49</v>
      </c>
      <c r="L138" s="48">
        <f>[1]Milho_saf_pd!$T$42</f>
        <v>1441.69</v>
      </c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</row>
    <row r="139" spans="1:30" ht="15" x14ac:dyDescent="0.2">
      <c r="A139" s="21" t="str">
        <f t="shared" si="0"/>
        <v>8Operação de máquinas e implementos</v>
      </c>
      <c r="B139" s="21">
        <v>8</v>
      </c>
      <c r="C139" s="21">
        <v>1000</v>
      </c>
      <c r="D139" s="21" t="str">
        <f t="shared" si="1"/>
        <v>10008</v>
      </c>
      <c r="E139" s="21">
        <v>136</v>
      </c>
      <c r="F139" s="28" t="s">
        <v>10</v>
      </c>
      <c r="G139" s="29">
        <f>HLOOKUP(mes_ano!$A$1,$H$4:$P$176,E139,0)</f>
        <v>407.13</v>
      </c>
      <c r="H139" s="36">
        <v>406.09</v>
      </c>
      <c r="I139" s="36">
        <v>429.36</v>
      </c>
      <c r="J139" s="36">
        <v>414.14</v>
      </c>
      <c r="K139" s="47">
        <v>406.25</v>
      </c>
      <c r="L139" s="47">
        <f>[1]SOJA_TRANG_ATUALIZADO!$T$7+[1]SOJA_TRANG_ATUALIZADO!$T$8</f>
        <v>407.13</v>
      </c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</row>
    <row r="140" spans="1:30" ht="15" x14ac:dyDescent="0.2">
      <c r="A140" s="21" t="str">
        <f t="shared" si="0"/>
        <v>8Despesas de manutenção de benfeitorias</v>
      </c>
      <c r="B140" s="21">
        <v>8</v>
      </c>
      <c r="C140" s="21">
        <v>1000</v>
      </c>
      <c r="D140" s="21" t="str">
        <f t="shared" si="1"/>
        <v>10008</v>
      </c>
      <c r="E140" s="21">
        <v>137</v>
      </c>
      <c r="F140" s="32" t="s">
        <v>12</v>
      </c>
      <c r="G140" s="29">
        <f>HLOOKUP(mes_ano!$A$1,$H$4:$P$176,E140,0)</f>
        <v>56.38</v>
      </c>
      <c r="H140" s="36">
        <v>54.45</v>
      </c>
      <c r="I140" s="36">
        <v>55.21</v>
      </c>
      <c r="J140" s="36">
        <v>55.33</v>
      </c>
      <c r="K140" s="47">
        <v>56.03</v>
      </c>
      <c r="L140" s="47">
        <f>[1]SOJA_TRANG_ATUALIZADO!$T$10</f>
        <v>56.38</v>
      </c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</row>
    <row r="141" spans="1:30" ht="15" x14ac:dyDescent="0.2">
      <c r="A141" s="21" t="str">
        <f t="shared" si="0"/>
        <v>8Mão-de-obra temporária</v>
      </c>
      <c r="B141" s="21">
        <v>8</v>
      </c>
      <c r="C141" s="21">
        <v>1000</v>
      </c>
      <c r="D141" s="21" t="str">
        <f t="shared" si="1"/>
        <v>10008</v>
      </c>
      <c r="E141" s="21">
        <v>138</v>
      </c>
      <c r="F141" s="32" t="s">
        <v>14</v>
      </c>
      <c r="G141" s="29">
        <f>HLOOKUP(mes_ano!$A$1,$H$4:$P$176,E141,0)</f>
        <v>67.19</v>
      </c>
      <c r="H141" s="36">
        <v>64.150000000000006</v>
      </c>
      <c r="I141" s="36">
        <v>66.5</v>
      </c>
      <c r="J141" s="36">
        <v>68.400000000000006</v>
      </c>
      <c r="K141" s="47">
        <v>66.92</v>
      </c>
      <c r="L141" s="47">
        <f>[1]SOJA_TRANG_ATUALIZADO!$T$12</f>
        <v>67.19</v>
      </c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</row>
    <row r="142" spans="1:30" ht="15" x14ac:dyDescent="0.2">
      <c r="A142" s="21" t="str">
        <f t="shared" si="0"/>
        <v>8Sementes/Manivas</v>
      </c>
      <c r="B142" s="21">
        <v>8</v>
      </c>
      <c r="C142" s="21">
        <v>1000</v>
      </c>
      <c r="D142" s="21" t="str">
        <f t="shared" si="1"/>
        <v>10008</v>
      </c>
      <c r="E142" s="21">
        <v>139</v>
      </c>
      <c r="F142" s="32" t="s">
        <v>16</v>
      </c>
      <c r="G142" s="29">
        <f>HLOOKUP(mes_ano!$A$1,$H$4:$P$176,E142,0)</f>
        <v>745.2</v>
      </c>
      <c r="H142" s="36">
        <v>724.8</v>
      </c>
      <c r="I142" s="36">
        <v>696</v>
      </c>
      <c r="J142" s="36">
        <v>761.4</v>
      </c>
      <c r="K142" s="47">
        <v>823.8</v>
      </c>
      <c r="L142" s="47">
        <f>[1]SOJA_TRANG_ATUALIZADO!$T$14+[1]SOJA_TRANG_ATUALIZADO!$T$17</f>
        <v>745.2</v>
      </c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</row>
    <row r="143" spans="1:30" ht="15" x14ac:dyDescent="0.2">
      <c r="A143" s="21" t="str">
        <f t="shared" si="0"/>
        <v>8Fertilizantes</v>
      </c>
      <c r="B143" s="21">
        <v>8</v>
      </c>
      <c r="C143" s="21">
        <v>1000</v>
      </c>
      <c r="D143" s="21" t="str">
        <f t="shared" si="1"/>
        <v>10008</v>
      </c>
      <c r="E143" s="21">
        <v>140</v>
      </c>
      <c r="F143" s="32" t="s">
        <v>18</v>
      </c>
      <c r="G143" s="29">
        <f>HLOOKUP(mes_ano!$A$1,$H$4:$P$176,E143,0)</f>
        <v>863</v>
      </c>
      <c r="H143" s="36">
        <v>847.66</v>
      </c>
      <c r="I143" s="36">
        <v>866.94</v>
      </c>
      <c r="J143" s="36">
        <v>924.34</v>
      </c>
      <c r="K143" s="47">
        <v>933.34</v>
      </c>
      <c r="L143" s="47">
        <f>[1]SOJA_TRANG_ATUALIZADO!$T$15</f>
        <v>863</v>
      </c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</row>
    <row r="144" spans="1:30" ht="15" x14ac:dyDescent="0.2">
      <c r="A144" s="21" t="str">
        <f t="shared" si="0"/>
        <v>8Agrotóxicos</v>
      </c>
      <c r="B144" s="21">
        <v>8</v>
      </c>
      <c r="C144" s="21">
        <v>1000</v>
      </c>
      <c r="D144" s="21" t="str">
        <f t="shared" si="1"/>
        <v>10008</v>
      </c>
      <c r="E144" s="21">
        <v>141</v>
      </c>
      <c r="F144" s="32" t="s">
        <v>20</v>
      </c>
      <c r="G144" s="29">
        <f>HLOOKUP(mes_ano!$A$1,$H$4:$P$176,E144,0)</f>
        <v>486.18</v>
      </c>
      <c r="H144" s="36">
        <v>522.41</v>
      </c>
      <c r="I144" s="36">
        <v>532.13</v>
      </c>
      <c r="J144" s="36">
        <v>493.48</v>
      </c>
      <c r="K144" s="47">
        <v>492.72</v>
      </c>
      <c r="L144" s="47">
        <f>[1]SOJA_TRANG_ATUALIZADO!$T$16</f>
        <v>486.18</v>
      </c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</row>
    <row r="145" spans="1:30" ht="15" x14ac:dyDescent="0.2">
      <c r="A145" s="21" t="str">
        <f t="shared" si="0"/>
        <v>8Despesas gerais</v>
      </c>
      <c r="B145" s="21">
        <v>8</v>
      </c>
      <c r="C145" s="21">
        <v>1000</v>
      </c>
      <c r="D145" s="21" t="str">
        <f t="shared" si="1"/>
        <v>10008</v>
      </c>
      <c r="E145" s="21">
        <v>142</v>
      </c>
      <c r="F145" s="32" t="s">
        <v>22</v>
      </c>
      <c r="G145" s="29">
        <f>HLOOKUP(mes_ano!$A$1,$H$4:$P$176,E145,0)</f>
        <v>49.62</v>
      </c>
      <c r="H145" s="36">
        <v>49.51</v>
      </c>
      <c r="I145" s="36">
        <v>50.04</v>
      </c>
      <c r="J145" s="36">
        <v>51.46</v>
      </c>
      <c r="K145" s="47">
        <v>52.7</v>
      </c>
      <c r="L145" s="47">
        <f>[1]SOJA_TRANG_ATUALIZADO!$T$18</f>
        <v>49.62</v>
      </c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</row>
    <row r="146" spans="1:30" ht="15" x14ac:dyDescent="0.2">
      <c r="A146" s="21" t="str">
        <f t="shared" si="0"/>
        <v>8Transporte externo</v>
      </c>
      <c r="B146" s="21">
        <v>8</v>
      </c>
      <c r="C146" s="21">
        <v>1000</v>
      </c>
      <c r="D146" s="21" t="str">
        <f t="shared" si="1"/>
        <v>10008</v>
      </c>
      <c r="E146" s="21">
        <v>143</v>
      </c>
      <c r="F146" s="28" t="s">
        <v>24</v>
      </c>
      <c r="G146" s="29">
        <f>HLOOKUP(mes_ano!$A$1,$H$4:$P$176,E146,0)</f>
        <v>188.65</v>
      </c>
      <c r="H146" s="36">
        <v>169.4</v>
      </c>
      <c r="I146" s="36">
        <v>179.85</v>
      </c>
      <c r="J146" s="36">
        <v>188.1</v>
      </c>
      <c r="K146" s="47">
        <v>188.65</v>
      </c>
      <c r="L146" s="47">
        <f>[1]SOJA_TRANG_ATUALIZADO!$T$19</f>
        <v>188.65</v>
      </c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</row>
    <row r="147" spans="1:30" ht="15" x14ac:dyDescent="0.2">
      <c r="A147" s="21" t="str">
        <f t="shared" si="0"/>
        <v>8Assistência técnica</v>
      </c>
      <c r="B147" s="21">
        <v>8</v>
      </c>
      <c r="C147" s="21">
        <v>1000</v>
      </c>
      <c r="D147" s="21" t="str">
        <f t="shared" si="1"/>
        <v>10008</v>
      </c>
      <c r="E147" s="21">
        <v>144</v>
      </c>
      <c r="F147" s="32" t="s">
        <v>26</v>
      </c>
      <c r="G147" s="29">
        <f>HLOOKUP(mes_ano!$A$1,$H$4:$P$176,E147,0)</f>
        <v>53.49</v>
      </c>
      <c r="H147" s="36">
        <v>53.38</v>
      </c>
      <c r="I147" s="36">
        <v>53.92</v>
      </c>
      <c r="J147" s="36">
        <v>55.37</v>
      </c>
      <c r="K147" s="47">
        <v>56.64</v>
      </c>
      <c r="L147" s="47">
        <f>[1]SOJA_TRANG_ATUALIZADO!$T$21</f>
        <v>53.49</v>
      </c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</row>
    <row r="148" spans="1:30" ht="15" x14ac:dyDescent="0.2">
      <c r="A148" s="21" t="str">
        <f t="shared" si="0"/>
        <v>8PROAGRO/SEGURO</v>
      </c>
      <c r="B148" s="21">
        <v>8</v>
      </c>
      <c r="C148" s="21">
        <v>1000</v>
      </c>
      <c r="D148" s="21" t="str">
        <f t="shared" si="1"/>
        <v>10008</v>
      </c>
      <c r="E148" s="21">
        <v>145</v>
      </c>
      <c r="F148" s="32" t="s">
        <v>28</v>
      </c>
      <c r="G148" s="29">
        <f>HLOOKUP(mes_ano!$A$1,$H$4:$P$176,E148,0)</f>
        <v>160.13</v>
      </c>
      <c r="H148" s="36">
        <v>159.79</v>
      </c>
      <c r="I148" s="36">
        <v>161.41</v>
      </c>
      <c r="J148" s="36">
        <v>165.74</v>
      </c>
      <c r="K148" s="47">
        <v>169.52</v>
      </c>
      <c r="L148" s="47">
        <f>[1]SOJA_TRANG_ATUALIZADO!$T$22</f>
        <v>160.13</v>
      </c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ht="15" x14ac:dyDescent="0.2">
      <c r="A149" s="21" t="str">
        <f t="shared" si="0"/>
        <v>8Juros</v>
      </c>
      <c r="B149" s="21">
        <v>8</v>
      </c>
      <c r="C149" s="21">
        <v>1000</v>
      </c>
      <c r="D149" s="21" t="str">
        <f t="shared" si="1"/>
        <v>10008</v>
      </c>
      <c r="E149" s="21">
        <v>146</v>
      </c>
      <c r="F149" s="32" t="s">
        <v>30</v>
      </c>
      <c r="G149" s="29">
        <f>HLOOKUP(mes_ano!$A$1,$H$4:$P$176,E149,0)</f>
        <v>135.02000000000001</v>
      </c>
      <c r="H149" s="36">
        <v>135.24</v>
      </c>
      <c r="I149" s="36">
        <v>135.69999999999999</v>
      </c>
      <c r="J149" s="36">
        <v>141.08000000000001</v>
      </c>
      <c r="K149" s="47">
        <v>145.02000000000001</v>
      </c>
      <c r="L149" s="47">
        <f>[1]SOJA_TRANG_ATUALIZADO!$T$23</f>
        <v>135.02000000000001</v>
      </c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ht="15" x14ac:dyDescent="0.2">
      <c r="A150" s="21" t="str">
        <f t="shared" si="0"/>
        <v>8Depreciação de máquinas e implementos</v>
      </c>
      <c r="B150" s="21">
        <v>8</v>
      </c>
      <c r="C150" s="21">
        <v>0</v>
      </c>
      <c r="D150" s="21" t="str">
        <f t="shared" si="1"/>
        <v>08</v>
      </c>
      <c r="E150" s="21">
        <v>147</v>
      </c>
      <c r="F150" s="32" t="s">
        <v>32</v>
      </c>
      <c r="G150" s="29">
        <f>HLOOKUP(mes_ano!$A$1,$H$4:$P$176,E150,0)</f>
        <v>403.83</v>
      </c>
      <c r="H150" s="36">
        <v>403.94</v>
      </c>
      <c r="I150" s="36">
        <v>410.19</v>
      </c>
      <c r="J150" s="36">
        <v>410.21</v>
      </c>
      <c r="K150" s="47">
        <v>416.01</v>
      </c>
      <c r="L150" s="47">
        <f>[1]SOJA_TRANG_ATUALIZADO!$T$27</f>
        <v>403.83</v>
      </c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</row>
    <row r="151" spans="1:30" ht="15" x14ac:dyDescent="0.2">
      <c r="A151" s="21" t="str">
        <f t="shared" si="0"/>
        <v>8Depreciação de benfeitorias e instalações</v>
      </c>
      <c r="B151" s="21">
        <v>8</v>
      </c>
      <c r="C151" s="21">
        <v>0</v>
      </c>
      <c r="D151" s="21" t="str">
        <f t="shared" si="1"/>
        <v>08</v>
      </c>
      <c r="E151" s="21">
        <v>148</v>
      </c>
      <c r="F151" s="32" t="s">
        <v>33</v>
      </c>
      <c r="G151" s="29">
        <f>HLOOKUP(mes_ano!$A$1,$H$4:$P$176,E151,0)</f>
        <v>75.16</v>
      </c>
      <c r="H151" s="36">
        <v>72.59</v>
      </c>
      <c r="I151" s="36">
        <v>73.61</v>
      </c>
      <c r="J151" s="36">
        <v>73.78</v>
      </c>
      <c r="K151" s="47">
        <v>74.69</v>
      </c>
      <c r="L151" s="47">
        <f>[1]SOJA_TRANG_ATUALIZADO!$T$28</f>
        <v>75.16</v>
      </c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ht="15" x14ac:dyDescent="0.2">
      <c r="A152" s="21" t="str">
        <f t="shared" si="0"/>
        <v>8Sistematização e correção do solo</v>
      </c>
      <c r="B152" s="21">
        <v>8</v>
      </c>
      <c r="C152" s="21">
        <v>0</v>
      </c>
      <c r="D152" s="21" t="str">
        <f t="shared" si="1"/>
        <v>08</v>
      </c>
      <c r="E152" s="21">
        <v>149</v>
      </c>
      <c r="F152" s="32" t="s">
        <v>34</v>
      </c>
      <c r="G152" s="29">
        <f>HLOOKUP(mes_ano!$A$1,$H$4:$P$176,E152,0)</f>
        <v>161.47999999999999</v>
      </c>
      <c r="H152" s="36">
        <v>158.06</v>
      </c>
      <c r="I152" s="36">
        <v>160.43</v>
      </c>
      <c r="J152" s="36">
        <v>159.33000000000001</v>
      </c>
      <c r="K152" s="47">
        <v>154.5</v>
      </c>
      <c r="L152" s="47">
        <f>[1]SOJA_TRANG_ATUALIZADO!$T$29</f>
        <v>161.47999999999999</v>
      </c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ht="15" x14ac:dyDescent="0.2">
      <c r="A153" s="21" t="str">
        <f t="shared" si="0"/>
        <v>8Cultura</v>
      </c>
      <c r="B153" s="21">
        <v>8</v>
      </c>
      <c r="C153" s="21">
        <v>0</v>
      </c>
      <c r="D153" s="21" t="str">
        <f t="shared" si="1"/>
        <v>08</v>
      </c>
      <c r="E153" s="21">
        <v>150</v>
      </c>
      <c r="F153" s="32" t="s">
        <v>35</v>
      </c>
      <c r="G153" s="29" t="str">
        <f>HLOOKUP(mes_ano!$A$1,$H$4:$P$176,E153,0)</f>
        <v>-</v>
      </c>
      <c r="H153" s="36" t="s">
        <v>54</v>
      </c>
      <c r="I153" s="36" t="s">
        <v>54</v>
      </c>
      <c r="J153" s="36" t="s">
        <v>54</v>
      </c>
      <c r="K153" s="47" t="s">
        <v>54</v>
      </c>
      <c r="L153" s="47" t="s">
        <v>54</v>
      </c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ht="15" x14ac:dyDescent="0.2">
      <c r="A154" s="21" t="str">
        <f t="shared" si="0"/>
        <v>8Seguro do capital</v>
      </c>
      <c r="B154" s="21">
        <v>8</v>
      </c>
      <c r="C154" s="21">
        <v>0</v>
      </c>
      <c r="D154" s="21" t="str">
        <f t="shared" si="1"/>
        <v>08</v>
      </c>
      <c r="E154" s="21">
        <v>151</v>
      </c>
      <c r="F154" s="32" t="s">
        <v>36</v>
      </c>
      <c r="G154" s="29">
        <f>HLOOKUP(mes_ano!$A$1,$H$4:$P$176,E154,0)</f>
        <v>44.36</v>
      </c>
      <c r="H154" s="36">
        <v>43.63</v>
      </c>
      <c r="I154" s="36">
        <v>44.32</v>
      </c>
      <c r="J154" s="36">
        <v>44.31</v>
      </c>
      <c r="K154" s="47">
        <v>44.97</v>
      </c>
      <c r="L154" s="47">
        <f>[1]SOJA_TRANG_ATUALIZADO!$T$35+[1]SOJA_TRANG_ATUALIZADO!$T$36</f>
        <v>44.36</v>
      </c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ht="15" x14ac:dyDescent="0.2">
      <c r="A155" s="21" t="str">
        <f t="shared" si="0"/>
        <v>8Mão-de-obra permanente</v>
      </c>
      <c r="B155" s="21">
        <v>8</v>
      </c>
      <c r="C155" s="21">
        <v>0</v>
      </c>
      <c r="D155" s="21" t="str">
        <f t="shared" si="1"/>
        <v>08</v>
      </c>
      <c r="E155" s="21">
        <v>152</v>
      </c>
      <c r="F155" s="28" t="s">
        <v>37</v>
      </c>
      <c r="G155" s="29">
        <f>HLOOKUP(mes_ano!$A$1,$H$4:$P$176,E155,0)</f>
        <v>250.04</v>
      </c>
      <c r="H155" s="36">
        <v>244.96</v>
      </c>
      <c r="I155" s="36">
        <v>247.78</v>
      </c>
      <c r="J155" s="36">
        <v>254.94</v>
      </c>
      <c r="K155" s="47">
        <v>259.56</v>
      </c>
      <c r="L155" s="47">
        <f>[1]SOJA_TRANG_ATUALIZADO!$T$38+[1]SOJA_TRANG_ATUALIZADO!$T$39</f>
        <v>250.04</v>
      </c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</row>
    <row r="156" spans="1:30" ht="15" x14ac:dyDescent="0.2">
      <c r="A156" s="21" t="str">
        <f t="shared" si="0"/>
        <v>8Remuneração do Capital próprio</v>
      </c>
      <c r="B156" s="21">
        <v>8</v>
      </c>
      <c r="C156" s="21">
        <v>0</v>
      </c>
      <c r="D156" s="21" t="str">
        <f t="shared" si="1"/>
        <v>08</v>
      </c>
      <c r="E156" s="21">
        <v>153</v>
      </c>
      <c r="F156" s="32" t="s">
        <v>39</v>
      </c>
      <c r="G156" s="29">
        <f>HLOOKUP(mes_ano!$A$1,$H$4:$P$176,E156,0)</f>
        <v>295.87</v>
      </c>
      <c r="H156" s="36">
        <v>291.87</v>
      </c>
      <c r="I156" s="36">
        <v>296.47000000000003</v>
      </c>
      <c r="J156" s="36">
        <v>296.38</v>
      </c>
      <c r="K156" s="47">
        <v>300.79000000000002</v>
      </c>
      <c r="L156" s="47">
        <f>[1]SOJA_TRANG_ATUALIZADO!$T$32+[1]SOJA_TRANG_ATUALIZADO!$T$33</f>
        <v>295.87</v>
      </c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</row>
    <row r="157" spans="1:30" ht="15" x14ac:dyDescent="0.2">
      <c r="A157" s="21" t="str">
        <f t="shared" si="0"/>
        <v>8Remuneração da terra</v>
      </c>
      <c r="B157" s="21">
        <v>8</v>
      </c>
      <c r="C157" s="21">
        <v>0</v>
      </c>
      <c r="D157" s="21" t="str">
        <f t="shared" si="1"/>
        <v>08</v>
      </c>
      <c r="E157" s="21">
        <v>154</v>
      </c>
      <c r="F157" s="32" t="s">
        <v>40</v>
      </c>
      <c r="G157" s="29">
        <f>HLOOKUP(mes_ano!$A$1,$H$4:$P$176,E157,0)</f>
        <v>1441.69</v>
      </c>
      <c r="H157" s="36">
        <v>1378.66</v>
      </c>
      <c r="I157" s="36">
        <v>1404.95</v>
      </c>
      <c r="J157" s="36">
        <v>1453.92</v>
      </c>
      <c r="K157" s="47">
        <v>1452.49</v>
      </c>
      <c r="L157" s="47">
        <f>[1]SOJA_TRANG_ATUALIZADO!$T$40</f>
        <v>1441.69</v>
      </c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</row>
    <row r="158" spans="1:30" ht="15" x14ac:dyDescent="0.2">
      <c r="A158" s="21" t="str">
        <f t="shared" si="0"/>
        <v>9Operação de máquinas e implementos</v>
      </c>
      <c r="B158" s="21">
        <v>9</v>
      </c>
      <c r="C158" s="21">
        <v>1000</v>
      </c>
      <c r="D158" s="21" t="str">
        <f t="shared" si="1"/>
        <v>10009</v>
      </c>
      <c r="E158" s="21">
        <v>155</v>
      </c>
      <c r="F158" s="28" t="s">
        <v>10</v>
      </c>
      <c r="G158" s="29">
        <f>HLOOKUP(mes_ano!$A$1,$H$4:$P$176,E158,0)</f>
        <v>388.15999999999997</v>
      </c>
      <c r="H158" s="36">
        <v>389.3</v>
      </c>
      <c r="I158" s="36">
        <v>410.98</v>
      </c>
      <c r="J158" s="36">
        <v>394.42</v>
      </c>
      <c r="K158" s="47">
        <v>384.43</v>
      </c>
      <c r="L158" s="47">
        <f>[1]TRIGO_PD!$T$6+[1]TRIGO_PD!$T$7</f>
        <v>388.15999999999997</v>
      </c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</row>
    <row r="159" spans="1:30" ht="15" x14ac:dyDescent="0.2">
      <c r="A159" s="21" t="str">
        <f t="shared" si="0"/>
        <v>9Despesas de manutenção de benfeitorias</v>
      </c>
      <c r="B159" s="21">
        <v>9</v>
      </c>
      <c r="C159" s="21">
        <v>1000</v>
      </c>
      <c r="D159" s="21" t="str">
        <f t="shared" si="1"/>
        <v>10009</v>
      </c>
      <c r="E159" s="21">
        <v>156</v>
      </c>
      <c r="F159" s="32" t="s">
        <v>12</v>
      </c>
      <c r="G159" s="29">
        <f>HLOOKUP(mes_ano!$A$1,$H$4:$P$176,E159,0)</f>
        <v>38.880000000000003</v>
      </c>
      <c r="H159" s="36">
        <v>37.94</v>
      </c>
      <c r="I159" s="36">
        <v>38.35</v>
      </c>
      <c r="J159" s="36">
        <v>38.28</v>
      </c>
      <c r="K159" s="47">
        <v>38.880000000000003</v>
      </c>
      <c r="L159" s="47">
        <f>[1]TRIGO_PD!$T$9</f>
        <v>38.880000000000003</v>
      </c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</row>
    <row r="160" spans="1:30" ht="15" x14ac:dyDescent="0.2">
      <c r="A160" s="21" t="str">
        <f t="shared" si="0"/>
        <v>9Mão-de-obra temporária</v>
      </c>
      <c r="B160" s="21">
        <v>9</v>
      </c>
      <c r="C160" s="21">
        <v>1000</v>
      </c>
      <c r="D160" s="21" t="str">
        <f t="shared" si="1"/>
        <v>10009</v>
      </c>
      <c r="E160" s="21">
        <v>157</v>
      </c>
      <c r="F160" s="32" t="s">
        <v>14</v>
      </c>
      <c r="G160" s="29">
        <f>HLOOKUP(mes_ano!$A$1,$H$4:$P$176,E160,0)</f>
        <v>74.97</v>
      </c>
      <c r="H160" s="36">
        <v>71.55</v>
      </c>
      <c r="I160" s="36">
        <v>74.180000000000007</v>
      </c>
      <c r="J160" s="36">
        <v>76.349999999999994</v>
      </c>
      <c r="K160" s="47">
        <v>74.67</v>
      </c>
      <c r="L160" s="47">
        <f>[1]TRIGO_PD!$T$11</f>
        <v>74.97</v>
      </c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</row>
    <row r="161" spans="1:30" ht="15" x14ac:dyDescent="0.2">
      <c r="A161" s="21" t="str">
        <f t="shared" si="0"/>
        <v>9Sementes/Manivas</v>
      </c>
      <c r="B161" s="21">
        <v>9</v>
      </c>
      <c r="C161" s="21">
        <v>1000</v>
      </c>
      <c r="D161" s="21" t="str">
        <f t="shared" si="1"/>
        <v>10009</v>
      </c>
      <c r="E161" s="21">
        <v>158</v>
      </c>
      <c r="F161" s="32" t="s">
        <v>16</v>
      </c>
      <c r="G161" s="29">
        <f>HLOOKUP(mes_ano!$A$1,$H$4:$P$176,E161,0)</f>
        <v>495</v>
      </c>
      <c r="H161" s="36">
        <v>462</v>
      </c>
      <c r="I161" s="36">
        <v>510</v>
      </c>
      <c r="J161" s="36">
        <v>483</v>
      </c>
      <c r="K161" s="47">
        <v>529.5</v>
      </c>
      <c r="L161" s="47">
        <f>[1]TRIGO_PD!$T$13</f>
        <v>495</v>
      </c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</row>
    <row r="162" spans="1:30" ht="15" x14ac:dyDescent="0.2">
      <c r="A162" s="21" t="str">
        <f t="shared" si="0"/>
        <v>9Fertilizantes</v>
      </c>
      <c r="B162" s="21">
        <v>9</v>
      </c>
      <c r="C162" s="21">
        <v>1000</v>
      </c>
      <c r="D162" s="21" t="str">
        <f t="shared" si="1"/>
        <v>10009</v>
      </c>
      <c r="E162" s="21">
        <v>159</v>
      </c>
      <c r="F162" s="32" t="s">
        <v>18</v>
      </c>
      <c r="G162" s="29">
        <f>HLOOKUP(mes_ano!$A$1,$H$4:$P$176,E162,0)</f>
        <v>1339</v>
      </c>
      <c r="H162" s="36">
        <v>1223</v>
      </c>
      <c r="I162" s="36">
        <v>1336</v>
      </c>
      <c r="J162" s="36">
        <v>1358</v>
      </c>
      <c r="K162" s="47">
        <v>1394</v>
      </c>
      <c r="L162" s="47">
        <f>[1]TRIGO_PD!$T$14</f>
        <v>1339</v>
      </c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</row>
    <row r="163" spans="1:30" ht="15" x14ac:dyDescent="0.2">
      <c r="A163" s="21" t="str">
        <f t="shared" si="0"/>
        <v>9Agrotóxicos</v>
      </c>
      <c r="B163" s="21">
        <v>9</v>
      </c>
      <c r="C163" s="21">
        <v>1000</v>
      </c>
      <c r="D163" s="21" t="str">
        <f t="shared" si="1"/>
        <v>10009</v>
      </c>
      <c r="E163" s="21">
        <v>160</v>
      </c>
      <c r="F163" s="32" t="s">
        <v>20</v>
      </c>
      <c r="G163" s="29">
        <f>HLOOKUP(mes_ano!$A$1,$H$4:$P$176,E163,0)</f>
        <v>468.06</v>
      </c>
      <c r="H163" s="36">
        <v>482.39</v>
      </c>
      <c r="I163" s="36">
        <v>485.92</v>
      </c>
      <c r="J163" s="36">
        <v>472.03</v>
      </c>
      <c r="K163" s="47">
        <v>471.64</v>
      </c>
      <c r="L163" s="47">
        <f>[1]TRIGO_PD!$T$15</f>
        <v>468.06</v>
      </c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</row>
    <row r="164" spans="1:30" ht="15" x14ac:dyDescent="0.2">
      <c r="A164" s="21" t="str">
        <f t="shared" si="0"/>
        <v>9Despesas gerais</v>
      </c>
      <c r="B164" s="21">
        <v>9</v>
      </c>
      <c r="C164" s="21">
        <v>1000</v>
      </c>
      <c r="D164" s="21" t="str">
        <f t="shared" si="1"/>
        <v>10009</v>
      </c>
      <c r="E164" s="21">
        <v>161</v>
      </c>
      <c r="F164" s="32" t="s">
        <v>22</v>
      </c>
      <c r="G164" s="29">
        <f>HLOOKUP(mes_ano!$A$1,$H$4:$P$176,E164,0)</f>
        <v>56.08</v>
      </c>
      <c r="H164" s="36">
        <v>53.32</v>
      </c>
      <c r="I164" s="36">
        <v>57.11</v>
      </c>
      <c r="J164" s="36">
        <v>56.44</v>
      </c>
      <c r="K164" s="47">
        <v>57.86</v>
      </c>
      <c r="L164" s="47">
        <f>[1]TRIGO_PD!$T$17</f>
        <v>56.08</v>
      </c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</row>
    <row r="165" spans="1:30" ht="15" x14ac:dyDescent="0.2">
      <c r="A165" s="21" t="str">
        <f t="shared" si="0"/>
        <v>9Transporte externo</v>
      </c>
      <c r="B165" s="21">
        <v>9</v>
      </c>
      <c r="C165" s="21">
        <v>1000</v>
      </c>
      <c r="D165" s="21" t="str">
        <f t="shared" si="1"/>
        <v>10009</v>
      </c>
      <c r="E165" s="21">
        <v>162</v>
      </c>
      <c r="F165" s="28" t="s">
        <v>24</v>
      </c>
      <c r="G165" s="29">
        <f>HLOOKUP(mes_ano!$A$1,$H$4:$P$176,E165,0)</f>
        <v>164.64</v>
      </c>
      <c r="H165" s="36">
        <v>147.84</v>
      </c>
      <c r="I165" s="36">
        <v>156.96</v>
      </c>
      <c r="J165" s="36">
        <v>164.16</v>
      </c>
      <c r="K165" s="47">
        <v>164.64</v>
      </c>
      <c r="L165" s="47">
        <f>[1]TRIGO_PD!$T$18</f>
        <v>164.64</v>
      </c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</row>
    <row r="166" spans="1:30" ht="15" x14ac:dyDescent="0.2">
      <c r="A166" s="21" t="str">
        <f t="shared" si="0"/>
        <v>9Assistência técnica</v>
      </c>
      <c r="B166" s="21">
        <v>9</v>
      </c>
      <c r="C166" s="21">
        <v>1000</v>
      </c>
      <c r="D166" s="21" t="str">
        <f t="shared" si="1"/>
        <v>10009</v>
      </c>
      <c r="E166" s="21">
        <v>163</v>
      </c>
      <c r="F166" s="32" t="s">
        <v>26</v>
      </c>
      <c r="G166" s="29">
        <f>HLOOKUP(mes_ano!$A$1,$H$4:$P$176,E166,0)</f>
        <v>57.2</v>
      </c>
      <c r="H166" s="36">
        <v>54.39</v>
      </c>
      <c r="I166" s="36">
        <v>58.25</v>
      </c>
      <c r="J166" s="36">
        <v>57.57</v>
      </c>
      <c r="K166" s="47">
        <v>59.02</v>
      </c>
      <c r="L166" s="47">
        <f>[1]TRIGO_PD!$T$20</f>
        <v>57.2</v>
      </c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</row>
    <row r="167" spans="1:30" ht="15" x14ac:dyDescent="0.2">
      <c r="A167" s="21" t="str">
        <f t="shared" si="0"/>
        <v>9PROAGRO/SEGURO</v>
      </c>
      <c r="B167" s="21">
        <v>9</v>
      </c>
      <c r="C167" s="21">
        <v>1000</v>
      </c>
      <c r="D167" s="21" t="str">
        <f t="shared" si="1"/>
        <v>10009</v>
      </c>
      <c r="E167" s="21">
        <v>164</v>
      </c>
      <c r="F167" s="32" t="s">
        <v>28</v>
      </c>
      <c r="G167" s="29">
        <f>HLOOKUP(mes_ano!$A$1,$H$4:$P$176,E167,0)</f>
        <v>280.41000000000003</v>
      </c>
      <c r="H167" s="36">
        <v>266.62</v>
      </c>
      <c r="I167" s="36">
        <v>285.54000000000002</v>
      </c>
      <c r="J167" s="36">
        <v>282.20999999999998</v>
      </c>
      <c r="K167" s="47">
        <v>289.31</v>
      </c>
      <c r="L167" s="47">
        <f>[1]TRIGO_PD!$T$21</f>
        <v>280.41000000000003</v>
      </c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</row>
    <row r="168" spans="1:30" ht="15" x14ac:dyDescent="0.2">
      <c r="A168" s="21" t="str">
        <f t="shared" si="0"/>
        <v>9Juros</v>
      </c>
      <c r="B168" s="21">
        <v>9</v>
      </c>
      <c r="C168" s="21">
        <v>1000</v>
      </c>
      <c r="D168" s="21" t="str">
        <f t="shared" si="1"/>
        <v>10009</v>
      </c>
      <c r="E168" s="21">
        <v>165</v>
      </c>
      <c r="F168" s="32" t="s">
        <v>30</v>
      </c>
      <c r="G168" s="29">
        <f>HLOOKUP(mes_ano!$A$1,$H$4:$P$176,E168,0)</f>
        <v>114.43</v>
      </c>
      <c r="H168" s="36">
        <v>108.44</v>
      </c>
      <c r="I168" s="36">
        <v>116.26</v>
      </c>
      <c r="J168" s="36">
        <v>115.15</v>
      </c>
      <c r="K168" s="47">
        <v>118.29</v>
      </c>
      <c r="L168" s="47">
        <f>[1]TRIGO_PD!$T$22</f>
        <v>114.43</v>
      </c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</row>
    <row r="169" spans="1:30" ht="15" x14ac:dyDescent="0.2">
      <c r="A169" s="21" t="str">
        <f t="shared" si="0"/>
        <v>9Depreciação de máquinas e implementos</v>
      </c>
      <c r="B169" s="21">
        <v>9</v>
      </c>
      <c r="C169" s="21">
        <v>0</v>
      </c>
      <c r="D169" s="21" t="str">
        <f t="shared" si="1"/>
        <v>09</v>
      </c>
      <c r="E169" s="21">
        <v>166</v>
      </c>
      <c r="F169" s="32" t="s">
        <v>32</v>
      </c>
      <c r="G169" s="29">
        <f>HLOOKUP(mes_ano!$A$1,$H$4:$P$176,E169,0)</f>
        <v>448.72</v>
      </c>
      <c r="H169" s="36">
        <v>461.39</v>
      </c>
      <c r="I169" s="36">
        <v>468.9</v>
      </c>
      <c r="J169" s="36">
        <v>452.67</v>
      </c>
      <c r="K169" s="47">
        <v>440.74</v>
      </c>
      <c r="L169" s="47">
        <f>[1]TRIGO_PD!$T$26</f>
        <v>448.72</v>
      </c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</row>
    <row r="170" spans="1:30" ht="15" x14ac:dyDescent="0.2">
      <c r="A170" s="21" t="str">
        <f t="shared" si="0"/>
        <v>9Depreciação de benfeitorias e instalações</v>
      </c>
      <c r="B170" s="21">
        <v>9</v>
      </c>
      <c r="C170" s="21">
        <v>0</v>
      </c>
      <c r="D170" s="21" t="str">
        <f t="shared" si="1"/>
        <v>09</v>
      </c>
      <c r="E170" s="21">
        <v>167</v>
      </c>
      <c r="F170" s="32" t="s">
        <v>33</v>
      </c>
      <c r="G170" s="29">
        <f>HLOOKUP(mes_ano!$A$1,$H$4:$P$176,E170,0)</f>
        <v>51.84</v>
      </c>
      <c r="H170" s="36">
        <v>50.59</v>
      </c>
      <c r="I170" s="36">
        <v>51.13</v>
      </c>
      <c r="J170" s="36">
        <v>51.04</v>
      </c>
      <c r="K170" s="47">
        <v>51.84</v>
      </c>
      <c r="L170" s="47">
        <f>[1]TRIGO_PD!$T$27</f>
        <v>51.84</v>
      </c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</row>
    <row r="171" spans="1:30" ht="15" x14ac:dyDescent="0.2">
      <c r="A171" s="21" t="str">
        <f t="shared" si="0"/>
        <v>9Sistematização e correção do solo</v>
      </c>
      <c r="B171" s="21">
        <v>9</v>
      </c>
      <c r="C171" s="21">
        <v>0</v>
      </c>
      <c r="D171" s="21" t="str">
        <f t="shared" si="1"/>
        <v>09</v>
      </c>
      <c r="E171" s="21">
        <v>168</v>
      </c>
      <c r="F171" s="32" t="s">
        <v>34</v>
      </c>
      <c r="G171" s="29">
        <f>HLOOKUP(mes_ano!$A$1,$H$4:$P$176,E171,0)</f>
        <v>161.47999999999999</v>
      </c>
      <c r="H171" s="36">
        <v>158.06</v>
      </c>
      <c r="I171" s="36">
        <v>160.43</v>
      </c>
      <c r="J171" s="36">
        <v>159.33000000000001</v>
      </c>
      <c r="K171" s="47">
        <v>154.5</v>
      </c>
      <c r="L171" s="47">
        <f>[1]TRIGO_PD!$T$28</f>
        <v>161.47999999999999</v>
      </c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</row>
    <row r="172" spans="1:30" ht="15" x14ac:dyDescent="0.2">
      <c r="A172" s="21" t="str">
        <f t="shared" si="0"/>
        <v>9Cultura</v>
      </c>
      <c r="B172" s="21">
        <v>9</v>
      </c>
      <c r="C172" s="21">
        <v>0</v>
      </c>
      <c r="D172" s="21" t="str">
        <f t="shared" si="1"/>
        <v>09</v>
      </c>
      <c r="E172" s="21">
        <v>169</v>
      </c>
      <c r="F172" s="32" t="s">
        <v>35</v>
      </c>
      <c r="G172" s="29" t="str">
        <f>HLOOKUP(mes_ano!$A$1,$H$4:$P$176,E172,0)</f>
        <v>-</v>
      </c>
      <c r="H172" s="36" t="s">
        <v>54</v>
      </c>
      <c r="I172" s="36" t="s">
        <v>54</v>
      </c>
      <c r="J172" s="36" t="s">
        <v>54</v>
      </c>
      <c r="K172" s="47" t="s">
        <v>54</v>
      </c>
      <c r="L172" s="47" t="s">
        <v>54</v>
      </c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</row>
    <row r="173" spans="1:30" ht="15" x14ac:dyDescent="0.2">
      <c r="A173" s="21" t="str">
        <f t="shared" si="0"/>
        <v>9Seguro do capital</v>
      </c>
      <c r="B173" s="21">
        <v>9</v>
      </c>
      <c r="C173" s="21">
        <v>0</v>
      </c>
      <c r="D173" s="21" t="str">
        <f t="shared" si="1"/>
        <v>09</v>
      </c>
      <c r="E173" s="21">
        <v>170</v>
      </c>
      <c r="F173" s="32" t="s">
        <v>36</v>
      </c>
      <c r="G173" s="29">
        <f>HLOOKUP(mes_ano!$A$1,$H$4:$P$176,E173,0)</f>
        <v>42.15</v>
      </c>
      <c r="H173" s="36">
        <v>42.82</v>
      </c>
      <c r="I173" s="36">
        <v>43.5</v>
      </c>
      <c r="J173" s="36">
        <v>42.05</v>
      </c>
      <c r="K173" s="47">
        <v>41.22</v>
      </c>
      <c r="L173" s="47">
        <f>[1]TRIGO_PD!$T$34+[1]TRIGO_PD!$T$35</f>
        <v>42.15</v>
      </c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</row>
    <row r="174" spans="1:30" ht="15" x14ac:dyDescent="0.2">
      <c r="A174" s="21" t="str">
        <f t="shared" si="0"/>
        <v>9Mão-de-obra permanente</v>
      </c>
      <c r="B174" s="21">
        <v>9</v>
      </c>
      <c r="C174" s="21">
        <v>0</v>
      </c>
      <c r="D174" s="21" t="str">
        <f t="shared" si="1"/>
        <v>09</v>
      </c>
      <c r="E174" s="21">
        <v>171</v>
      </c>
      <c r="F174" s="28" t="s">
        <v>37</v>
      </c>
      <c r="G174" s="29">
        <f>HLOOKUP(mes_ano!$A$1,$H$4:$P$176,E174,0)</f>
        <v>272.28000000000003</v>
      </c>
      <c r="H174" s="36">
        <v>257.52</v>
      </c>
      <c r="I174" s="36">
        <v>271.93</v>
      </c>
      <c r="J174" s="36">
        <v>271.85000000000002</v>
      </c>
      <c r="K174" s="47">
        <v>277.2</v>
      </c>
      <c r="L174" s="47">
        <f>[1]TRIGO_PD!$T$37+[1]TRIGO_PD!$T$38</f>
        <v>272.28000000000003</v>
      </c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</row>
    <row r="175" spans="1:30" ht="15" x14ac:dyDescent="0.2">
      <c r="A175" s="21" t="str">
        <f t="shared" si="0"/>
        <v>9Remuneração do Capital próprio</v>
      </c>
      <c r="B175" s="21">
        <v>9</v>
      </c>
      <c r="C175" s="21">
        <v>0</v>
      </c>
      <c r="D175" s="21" t="str">
        <f t="shared" si="1"/>
        <v>09</v>
      </c>
      <c r="E175" s="21">
        <v>172</v>
      </c>
      <c r="F175" s="32" t="s">
        <v>39</v>
      </c>
      <c r="G175" s="29">
        <f>HLOOKUP(mes_ano!$A$1,$H$4:$P$176,E175,0)</f>
        <v>292.93</v>
      </c>
      <c r="H175" s="36">
        <v>299.02</v>
      </c>
      <c r="I175" s="36">
        <v>303.72000000000003</v>
      </c>
      <c r="J175" s="36">
        <v>292.82</v>
      </c>
      <c r="K175" s="47">
        <v>285.75</v>
      </c>
      <c r="L175" s="47">
        <f>[1]TRIGO_PD!$T$31+[1]TRIGO_PD!$T$32</f>
        <v>292.93</v>
      </c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</row>
    <row r="176" spans="1:30" ht="15" x14ac:dyDescent="0.2">
      <c r="A176" s="21" t="str">
        <f t="shared" si="0"/>
        <v>9Remuneração da terra</v>
      </c>
      <c r="B176" s="21">
        <v>9</v>
      </c>
      <c r="C176" s="21">
        <v>0</v>
      </c>
      <c r="D176" s="21" t="str">
        <f t="shared" si="1"/>
        <v>09</v>
      </c>
      <c r="E176" s="21">
        <v>173</v>
      </c>
      <c r="F176" s="32" t="s">
        <v>40</v>
      </c>
      <c r="G176" s="29">
        <f>HLOOKUP(mes_ano!$A$1,$H$4:$P$176,E176,0)</f>
        <v>1441.69</v>
      </c>
      <c r="H176" s="36">
        <v>1378.66</v>
      </c>
      <c r="I176" s="36">
        <v>1404.95</v>
      </c>
      <c r="J176" s="36">
        <v>1453.92</v>
      </c>
      <c r="K176" s="47">
        <v>1452.49</v>
      </c>
      <c r="L176" s="47">
        <f>[1]TRIGO_PD!$T$39</f>
        <v>1441.69</v>
      </c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</row>
  </sheetData>
  <sheetProtection selectLockedCells="1" selectUnlockedCells="1"/>
  <conditionalFormatting sqref="F6:F19 F25:F38 F44:F57 F101:F114 F120:F133 F139:F152 F158:F171 F63:F76 F82:F95">
    <cfRule type="cellIs" dxfId="0" priority="1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GridLines="0" workbookViewId="0">
      <selection activeCell="B7" sqref="B7"/>
    </sheetView>
  </sheetViews>
  <sheetFormatPr defaultRowHeight="12.75" x14ac:dyDescent="0.2"/>
  <cols>
    <col min="2" max="2" width="9.140625" style="27"/>
  </cols>
  <sheetData>
    <row r="1" spans="1:3" x14ac:dyDescent="0.2">
      <c r="A1">
        <v>5</v>
      </c>
      <c r="B1" s="40"/>
      <c r="C1" s="40"/>
    </row>
    <row r="2" spans="1:3" x14ac:dyDescent="0.2">
      <c r="A2">
        <v>1</v>
      </c>
      <c r="B2" s="27">
        <f>so_a_base!H5</f>
        <v>45597</v>
      </c>
    </row>
    <row r="3" spans="1:3" x14ac:dyDescent="0.2">
      <c r="A3">
        <v>2</v>
      </c>
      <c r="B3" s="27">
        <f>so_a_base!I5</f>
        <v>45689</v>
      </c>
    </row>
    <row r="4" spans="1:3" x14ac:dyDescent="0.2">
      <c r="A4">
        <v>3</v>
      </c>
      <c r="B4" s="27">
        <f>so_a_base!J5</f>
        <v>45778</v>
      </c>
    </row>
    <row r="5" spans="1:3" x14ac:dyDescent="0.2">
      <c r="A5">
        <v>4</v>
      </c>
      <c r="B5" s="27">
        <f>so_a_base!K5</f>
        <v>45870</v>
      </c>
    </row>
    <row r="6" spans="1:3" x14ac:dyDescent="0.2">
      <c r="A6">
        <v>5</v>
      </c>
      <c r="B6" s="27">
        <f>so_a_base!L5</f>
        <v>45962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>
      <selection activeCell="N10" sqref="N10"/>
    </sheetView>
  </sheetViews>
  <sheetFormatPr defaultRowHeight="12.75" x14ac:dyDescent="0.2"/>
  <cols>
    <col min="2" max="2" width="33.85546875" customWidth="1"/>
    <col min="3" max="3" width="16" customWidth="1"/>
  </cols>
  <sheetData>
    <row r="1" spans="1:6" x14ac:dyDescent="0.2">
      <c r="A1">
        <v>8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</row>
    <row r="2" spans="1:6" x14ac:dyDescent="0.2">
      <c r="A2">
        <v>1</v>
      </c>
      <c r="B2" s="21" t="s">
        <v>60</v>
      </c>
      <c r="C2">
        <v>40</v>
      </c>
      <c r="D2" t="s">
        <v>61</v>
      </c>
      <c r="E2" t="s">
        <v>62</v>
      </c>
      <c r="F2" s="41"/>
    </row>
    <row r="3" spans="1:6" x14ac:dyDescent="0.2">
      <c r="A3">
        <v>2</v>
      </c>
      <c r="B3" s="21" t="s">
        <v>63</v>
      </c>
      <c r="C3">
        <v>30</v>
      </c>
      <c r="D3" t="s">
        <v>61</v>
      </c>
      <c r="E3" t="s">
        <v>62</v>
      </c>
      <c r="F3" s="41"/>
    </row>
    <row r="4" spans="1:6" x14ac:dyDescent="0.2">
      <c r="A4">
        <v>3</v>
      </c>
      <c r="B4" s="21" t="s">
        <v>64</v>
      </c>
      <c r="C4">
        <v>34</v>
      </c>
      <c r="D4" t="s">
        <v>61</v>
      </c>
      <c r="E4" t="s">
        <v>62</v>
      </c>
      <c r="F4" s="21" t="s">
        <v>65</v>
      </c>
    </row>
    <row r="5" spans="1:6" x14ac:dyDescent="0.2">
      <c r="A5">
        <v>4</v>
      </c>
      <c r="B5" s="21" t="s">
        <v>66</v>
      </c>
      <c r="C5">
        <v>22</v>
      </c>
      <c r="D5" t="s">
        <v>67</v>
      </c>
      <c r="E5" t="s">
        <v>68</v>
      </c>
      <c r="F5" s="21"/>
    </row>
    <row r="6" spans="1:6" x14ac:dyDescent="0.2">
      <c r="A6">
        <v>5</v>
      </c>
      <c r="B6" s="21" t="s">
        <v>69</v>
      </c>
      <c r="C6">
        <v>33</v>
      </c>
      <c r="D6" t="s">
        <v>67</v>
      </c>
      <c r="E6" t="s">
        <v>68</v>
      </c>
      <c r="F6" s="42"/>
    </row>
    <row r="7" spans="1:6" x14ac:dyDescent="0.2">
      <c r="A7">
        <v>6</v>
      </c>
      <c r="B7" s="21" t="s">
        <v>70</v>
      </c>
      <c r="C7">
        <v>140</v>
      </c>
      <c r="D7" t="s">
        <v>61</v>
      </c>
      <c r="E7" t="s">
        <v>62</v>
      </c>
      <c r="F7" s="21" t="s">
        <v>65</v>
      </c>
    </row>
    <row r="8" spans="1:6" x14ac:dyDescent="0.2">
      <c r="A8">
        <v>7</v>
      </c>
      <c r="B8" s="21" t="s">
        <v>71</v>
      </c>
      <c r="C8">
        <v>80</v>
      </c>
      <c r="D8" t="s">
        <v>61</v>
      </c>
      <c r="E8" t="s">
        <v>62</v>
      </c>
      <c r="F8" s="21" t="s">
        <v>65</v>
      </c>
    </row>
    <row r="9" spans="1:6" x14ac:dyDescent="0.2">
      <c r="A9">
        <v>8</v>
      </c>
      <c r="B9" s="21" t="s">
        <v>72</v>
      </c>
      <c r="C9">
        <v>55</v>
      </c>
      <c r="D9" t="s">
        <v>61</v>
      </c>
      <c r="E9" t="s">
        <v>62</v>
      </c>
      <c r="F9" s="21" t="s">
        <v>65</v>
      </c>
    </row>
    <row r="10" spans="1:6" x14ac:dyDescent="0.2">
      <c r="A10">
        <v>9</v>
      </c>
      <c r="B10" s="21" t="s">
        <v>73</v>
      </c>
      <c r="C10">
        <v>48</v>
      </c>
      <c r="D10" t="s">
        <v>61</v>
      </c>
      <c r="E10" t="s">
        <v>62</v>
      </c>
      <c r="F10" s="21" t="s">
        <v>65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showGridLines="0" workbookViewId="0">
      <selection activeCell="I17" sqref="I17"/>
    </sheetView>
  </sheetViews>
  <sheetFormatPr defaultRowHeight="12.75" x14ac:dyDescent="0.2"/>
  <cols>
    <col min="1" max="7" width="9.140625" style="1"/>
    <col min="8" max="8" width="37.28515625" style="1" customWidth="1"/>
    <col min="9" max="16384" width="9.140625" style="1"/>
  </cols>
  <sheetData>
    <row r="2" spans="1:10" ht="12.75" customHeight="1" x14ac:dyDescent="0.2"/>
    <row r="9" spans="1:10" ht="22.5" customHeight="1" x14ac:dyDescent="0.2"/>
    <row r="10" spans="1:10" ht="9" customHeight="1" x14ac:dyDescent="0.2"/>
    <row r="11" spans="1:10" x14ac:dyDescent="0.2">
      <c r="H11" s="1" t="s">
        <v>74</v>
      </c>
      <c r="I11" s="1">
        <f>1-I17</f>
        <v>0.32989147613528613</v>
      </c>
    </row>
    <row r="12" spans="1:10" x14ac:dyDescent="0.2">
      <c r="A12" s="7">
        <f>resumo!C14</f>
        <v>407.13</v>
      </c>
      <c r="B12" s="1">
        <f t="shared" ref="B12:B30" si="0">IF(A12="-",0,A12)</f>
        <v>407.13</v>
      </c>
      <c r="C12" s="1">
        <f t="shared" ref="C12:C30" si="1">RANK(B12,$E$12:$E$30,0)</f>
        <v>5</v>
      </c>
      <c r="D12" s="1" t="s">
        <v>10</v>
      </c>
      <c r="E12" s="1">
        <f t="shared" ref="E12:E30" si="2">IF(D12="-",0,B12)</f>
        <v>407.13</v>
      </c>
      <c r="G12" s="1">
        <v>1</v>
      </c>
      <c r="H12" s="1" t="str">
        <f>VLOOKUP(G12,$C$12:$E$30,2,0)</f>
        <v>Remuneração da terra</v>
      </c>
      <c r="I12" s="1">
        <f>J12/$A$31</f>
        <v>0.24500120657600918</v>
      </c>
      <c r="J12" s="1">
        <f>VLOOKUP(G12,$C$12:$E$30,3,0)</f>
        <v>1441.69</v>
      </c>
    </row>
    <row r="13" spans="1:10" x14ac:dyDescent="0.2">
      <c r="A13" s="7">
        <f>resumo!C15</f>
        <v>56.38</v>
      </c>
      <c r="B13" s="1">
        <f t="shared" si="0"/>
        <v>56.38</v>
      </c>
      <c r="C13" s="1">
        <f t="shared" si="1"/>
        <v>15</v>
      </c>
      <c r="D13" s="1" t="s">
        <v>12</v>
      </c>
      <c r="E13" s="1">
        <f t="shared" si="2"/>
        <v>56.38</v>
      </c>
      <c r="G13" s="1">
        <v>2</v>
      </c>
      <c r="H13" s="1" t="str">
        <f>VLOOKUP(G13,$C$12:$E$30,2,0)</f>
        <v>Fertilizantes</v>
      </c>
      <c r="I13" s="1">
        <f>J13/$A$31</f>
        <v>0.14665846421567461</v>
      </c>
      <c r="J13" s="1">
        <f>VLOOKUP(G13,$C$12:$E$30,3,0)</f>
        <v>863</v>
      </c>
    </row>
    <row r="14" spans="1:10" x14ac:dyDescent="0.2">
      <c r="A14" s="7">
        <f>resumo!C16</f>
        <v>67.19</v>
      </c>
      <c r="B14" s="1">
        <f t="shared" si="0"/>
        <v>67.19</v>
      </c>
      <c r="C14" s="1">
        <f t="shared" si="1"/>
        <v>14</v>
      </c>
      <c r="D14" s="1" t="s">
        <v>14</v>
      </c>
      <c r="E14" s="1">
        <f t="shared" si="2"/>
        <v>67.19</v>
      </c>
      <c r="G14" s="1">
        <v>3</v>
      </c>
      <c r="H14" s="1" t="str">
        <f>VLOOKUP(G14,$C$12:$E$30,2,0)</f>
        <v>Sementes/Manivas</v>
      </c>
      <c r="I14" s="1">
        <f>J14/$A$31</f>
        <v>0.12663949888009354</v>
      </c>
      <c r="J14" s="1">
        <f>VLOOKUP(G14,$C$12:$E$30,3,0)</f>
        <v>745.2</v>
      </c>
    </row>
    <row r="15" spans="1:10" x14ac:dyDescent="0.2">
      <c r="A15" s="7">
        <f>resumo!C17</f>
        <v>745.2</v>
      </c>
      <c r="B15" s="1">
        <f t="shared" si="0"/>
        <v>745.2</v>
      </c>
      <c r="C15" s="1">
        <f t="shared" si="1"/>
        <v>3</v>
      </c>
      <c r="D15" s="1" t="s">
        <v>16</v>
      </c>
      <c r="E15" s="1">
        <f t="shared" si="2"/>
        <v>745.2</v>
      </c>
      <c r="G15" s="1">
        <v>4</v>
      </c>
      <c r="H15" s="1" t="str">
        <f>VLOOKUP(G15,$C$12:$E$30,2,0)</f>
        <v>Agrotóxicos</v>
      </c>
      <c r="I15" s="1">
        <f>J15/$A$31</f>
        <v>8.2621566781433009E-2</v>
      </c>
      <c r="J15" s="1">
        <f>VLOOKUP(G15,$C$12:$E$30,3,0)</f>
        <v>486.18</v>
      </c>
    </row>
    <row r="16" spans="1:10" x14ac:dyDescent="0.2">
      <c r="A16" s="7">
        <f>resumo!C18</f>
        <v>863</v>
      </c>
      <c r="B16" s="1">
        <f t="shared" si="0"/>
        <v>863</v>
      </c>
      <c r="C16" s="1">
        <f t="shared" si="1"/>
        <v>2</v>
      </c>
      <c r="D16" s="1" t="s">
        <v>18</v>
      </c>
      <c r="E16" s="1">
        <f t="shared" si="2"/>
        <v>863</v>
      </c>
      <c r="G16" s="1">
        <v>5</v>
      </c>
      <c r="H16" s="1" t="str">
        <f>VLOOKUP(G16,$C$12:$E$30,2,0)</f>
        <v>Operação de máquinas e implementos</v>
      </c>
      <c r="I16" s="1">
        <f>J16/$A$31</f>
        <v>6.9187787411503596E-2</v>
      </c>
      <c r="J16" s="1">
        <f>VLOOKUP(G16,$C$12:$E$30,3,0)</f>
        <v>407.13</v>
      </c>
    </row>
    <row r="17" spans="1:9" x14ac:dyDescent="0.2">
      <c r="A17" s="7">
        <f>resumo!C19</f>
        <v>486.18</v>
      </c>
      <c r="B17" s="1">
        <f t="shared" si="0"/>
        <v>486.18</v>
      </c>
      <c r="C17" s="1">
        <f t="shared" si="1"/>
        <v>4</v>
      </c>
      <c r="D17" s="1" t="s">
        <v>20</v>
      </c>
      <c r="E17" s="1">
        <f t="shared" si="2"/>
        <v>486.18</v>
      </c>
      <c r="I17" s="1">
        <f>SUM(I12:I16)</f>
        <v>0.67010852386471387</v>
      </c>
    </row>
    <row r="18" spans="1:9" x14ac:dyDescent="0.2">
      <c r="A18" s="7">
        <f>resumo!C20</f>
        <v>49.62</v>
      </c>
      <c r="B18" s="1">
        <f t="shared" si="0"/>
        <v>49.62</v>
      </c>
      <c r="C18" s="1">
        <f t="shared" si="1"/>
        <v>17</v>
      </c>
      <c r="D18" s="1" t="s">
        <v>22</v>
      </c>
      <c r="E18" s="1">
        <f t="shared" si="2"/>
        <v>49.62</v>
      </c>
    </row>
    <row r="19" spans="1:9" x14ac:dyDescent="0.2">
      <c r="A19" s="7">
        <f>resumo!C21</f>
        <v>188.65</v>
      </c>
      <c r="B19" s="1">
        <f t="shared" si="0"/>
        <v>188.65</v>
      </c>
      <c r="C19" s="1">
        <f t="shared" si="1"/>
        <v>9</v>
      </c>
      <c r="D19" s="1" t="s">
        <v>24</v>
      </c>
      <c r="E19" s="1">
        <f t="shared" si="2"/>
        <v>188.65</v>
      </c>
    </row>
    <row r="20" spans="1:9" x14ac:dyDescent="0.2">
      <c r="A20" s="7">
        <f>resumo!C22</f>
        <v>53.49</v>
      </c>
      <c r="B20" s="1">
        <f t="shared" si="0"/>
        <v>53.49</v>
      </c>
      <c r="C20" s="1">
        <f t="shared" si="1"/>
        <v>16</v>
      </c>
      <c r="D20" s="1" t="s">
        <v>26</v>
      </c>
      <c r="E20" s="1">
        <f t="shared" si="2"/>
        <v>53.49</v>
      </c>
    </row>
    <row r="21" spans="1:9" x14ac:dyDescent="0.2">
      <c r="A21" s="7">
        <f>resumo!C23</f>
        <v>160.13</v>
      </c>
      <c r="B21" s="1">
        <f t="shared" si="0"/>
        <v>160.13</v>
      </c>
      <c r="C21" s="1">
        <f t="shared" si="1"/>
        <v>11</v>
      </c>
      <c r="D21" s="1" t="s">
        <v>28</v>
      </c>
      <c r="E21" s="1">
        <f t="shared" si="2"/>
        <v>160.13</v>
      </c>
    </row>
    <row r="22" spans="1:9" x14ac:dyDescent="0.2">
      <c r="A22" s="7">
        <f>resumo!C24</f>
        <v>135.02000000000001</v>
      </c>
      <c r="B22" s="1">
        <f t="shared" si="0"/>
        <v>135.02000000000001</v>
      </c>
      <c r="C22" s="1">
        <f t="shared" si="1"/>
        <v>12</v>
      </c>
      <c r="D22" s="1" t="s">
        <v>30</v>
      </c>
      <c r="E22" s="1">
        <f t="shared" si="2"/>
        <v>135.02000000000001</v>
      </c>
    </row>
    <row r="23" spans="1:9" x14ac:dyDescent="0.2">
      <c r="A23" s="7">
        <f>resumo!C26</f>
        <v>403.83</v>
      </c>
      <c r="B23" s="1">
        <f t="shared" si="0"/>
        <v>403.83</v>
      </c>
      <c r="C23" s="1">
        <f t="shared" si="1"/>
        <v>6</v>
      </c>
      <c r="D23" s="1" t="s">
        <v>32</v>
      </c>
      <c r="E23" s="1">
        <f t="shared" si="2"/>
        <v>403.83</v>
      </c>
    </row>
    <row r="24" spans="1:9" x14ac:dyDescent="0.2">
      <c r="A24" s="7">
        <f>resumo!C27</f>
        <v>75.16</v>
      </c>
      <c r="B24" s="1">
        <f t="shared" si="0"/>
        <v>75.16</v>
      </c>
      <c r="C24" s="1">
        <f t="shared" si="1"/>
        <v>13</v>
      </c>
      <c r="D24" s="1" t="s">
        <v>33</v>
      </c>
      <c r="E24" s="1">
        <f t="shared" si="2"/>
        <v>75.16</v>
      </c>
    </row>
    <row r="25" spans="1:9" x14ac:dyDescent="0.2">
      <c r="A25" s="7">
        <f>resumo!C28</f>
        <v>161.47999999999999</v>
      </c>
      <c r="B25" s="1">
        <f t="shared" si="0"/>
        <v>161.47999999999999</v>
      </c>
      <c r="C25" s="1">
        <f t="shared" si="1"/>
        <v>10</v>
      </c>
      <c r="D25" s="1" t="s">
        <v>34</v>
      </c>
      <c r="E25" s="1">
        <f t="shared" si="2"/>
        <v>161.47999999999999</v>
      </c>
    </row>
    <row r="26" spans="1:9" x14ac:dyDescent="0.2">
      <c r="A26" s="7" t="str">
        <f>resumo!C29</f>
        <v>-</v>
      </c>
      <c r="B26" s="1">
        <f t="shared" si="0"/>
        <v>0</v>
      </c>
      <c r="C26" s="1">
        <f t="shared" si="1"/>
        <v>19</v>
      </c>
      <c r="D26" s="1" t="s">
        <v>35</v>
      </c>
      <c r="E26" s="1">
        <f t="shared" si="2"/>
        <v>0</v>
      </c>
    </row>
    <row r="27" spans="1:9" x14ac:dyDescent="0.2">
      <c r="A27" s="7">
        <f>resumo!C30</f>
        <v>44.36</v>
      </c>
      <c r="B27" s="1">
        <f t="shared" si="0"/>
        <v>44.36</v>
      </c>
      <c r="C27" s="1">
        <f t="shared" si="1"/>
        <v>18</v>
      </c>
      <c r="D27" s="1" t="s">
        <v>36</v>
      </c>
      <c r="E27" s="1">
        <f t="shared" si="2"/>
        <v>44.36</v>
      </c>
    </row>
    <row r="28" spans="1:9" x14ac:dyDescent="0.2">
      <c r="A28" s="7">
        <f>resumo!C31</f>
        <v>250.04</v>
      </c>
      <c r="B28" s="1">
        <f t="shared" si="0"/>
        <v>250.04</v>
      </c>
      <c r="C28" s="1">
        <f t="shared" si="1"/>
        <v>8</v>
      </c>
      <c r="D28" s="1" t="s">
        <v>37</v>
      </c>
      <c r="E28" s="1">
        <f t="shared" si="2"/>
        <v>250.04</v>
      </c>
    </row>
    <row r="29" spans="1:9" x14ac:dyDescent="0.2">
      <c r="A29" s="7">
        <f>resumo!C33</f>
        <v>295.87</v>
      </c>
      <c r="B29" s="1">
        <f t="shared" si="0"/>
        <v>295.87</v>
      </c>
      <c r="C29" s="1">
        <f t="shared" si="1"/>
        <v>7</v>
      </c>
      <c r="D29" s="1" t="s">
        <v>39</v>
      </c>
      <c r="E29" s="1">
        <f t="shared" si="2"/>
        <v>295.87</v>
      </c>
    </row>
    <row r="30" spans="1:9" x14ac:dyDescent="0.2">
      <c r="A30" s="7">
        <f>resumo!C34</f>
        <v>1441.69</v>
      </c>
      <c r="B30" s="1">
        <f t="shared" si="0"/>
        <v>1441.69</v>
      </c>
      <c r="C30" s="1">
        <f t="shared" si="1"/>
        <v>1</v>
      </c>
      <c r="D30" s="1" t="s">
        <v>40</v>
      </c>
      <c r="E30" s="1">
        <f t="shared" si="2"/>
        <v>1441.69</v>
      </c>
    </row>
    <row r="31" spans="1:9" x14ac:dyDescent="0.2">
      <c r="A31" s="7">
        <f>SUM(A12:A30)</f>
        <v>5884.42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resumo</vt:lpstr>
      <vt:lpstr>consumo diesel</vt:lpstr>
      <vt:lpstr>so_a_base</vt:lpstr>
      <vt:lpstr>mes_ano</vt:lpstr>
      <vt:lpstr>produto</vt:lpstr>
      <vt:lpstr>grafico2</vt:lpstr>
      <vt:lpstr>resumo!Area_de_impressao</vt:lpstr>
      <vt:lpstr>resumo!Excel_BuiltIn_Print_Area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Nahirny</dc:creator>
  <cp:lastModifiedBy>Fernanda Marie Yonamini</cp:lastModifiedBy>
  <dcterms:created xsi:type="dcterms:W3CDTF">2022-03-04T19:25:13Z</dcterms:created>
  <dcterms:modified xsi:type="dcterms:W3CDTF">2025-12-02T13:02:55Z</dcterms:modified>
</cp:coreProperties>
</file>